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330" windowWidth="12270" windowHeight="5790" tabRatio="816" activeTab="1"/>
  </bookViews>
  <sheets>
    <sheet name="Contents" sheetId="6" r:id="rId1"/>
    <sheet name="1" sheetId="8" r:id="rId2"/>
    <sheet name="2a" sheetId="28" r:id="rId3"/>
    <sheet name="2b" sheetId="44" r:id="rId4"/>
    <sheet name="3" sheetId="29" r:id="rId5"/>
    <sheet name="4" sheetId="32" r:id="rId6"/>
    <sheet name="5" sheetId="34" r:id="rId7"/>
    <sheet name="6" sheetId="5" r:id="rId8"/>
    <sheet name="7" sheetId="19" r:id="rId9"/>
    <sheet name="8" sheetId="36" r:id="rId10"/>
    <sheet name="9" sheetId="16" r:id="rId11"/>
    <sheet name="10" sheetId="15" r:id="rId12"/>
    <sheet name="11" sheetId="37" r:id="rId13"/>
    <sheet name="12" sheetId="14" r:id="rId14"/>
    <sheet name="13" sheetId="20" r:id="rId15"/>
    <sheet name="14" sheetId="17" r:id="rId16"/>
    <sheet name="15" sheetId="38" r:id="rId17"/>
    <sheet name="16" sheetId="31" r:id="rId18"/>
    <sheet name="17" sheetId="21" r:id="rId19"/>
    <sheet name="18" sheetId="18" r:id="rId20"/>
    <sheet name="19" sheetId="41" r:id="rId21"/>
    <sheet name="20" sheetId="45" r:id="rId22"/>
    <sheet name="21" sheetId="12" r:id="rId23"/>
    <sheet name="Sheet1" sheetId="7" state="hidden" r:id="rId24"/>
    <sheet name="Validation" sheetId="42"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adultno" localSheetId="1">[1]AppleTree:NationalCollegiate!$B$18</definedName>
    <definedName name="adultno">[1]AppleTree:NationalCollegiate!$B$18</definedName>
    <definedName name="altno" localSheetId="1">[1]AppleTree:NationalCollegiate!$B$16</definedName>
    <definedName name="altno">[1]AppleTree:NationalCollegiate!$B$16</definedName>
    <definedName name="certifier">[2]Sheet1!$A$1:$A$2</definedName>
    <definedName name="check" localSheetId="1">'[3]OSSE Only'!$A$6:$A$7</definedName>
    <definedName name="check" localSheetId="11">#REF!</definedName>
    <definedName name="check" localSheetId="15">#REF!</definedName>
    <definedName name="check" localSheetId="19">#REF!</definedName>
    <definedName name="check" localSheetId="20">'19'!$A$137:$A$138</definedName>
    <definedName name="check" localSheetId="22">'[4]OSSE Only'!$A$6:$A$7</definedName>
    <definedName name="check" localSheetId="3">[5]Sheet1!$A$3:$A$4</definedName>
    <definedName name="check" localSheetId="8">#REF!</definedName>
    <definedName name="check" localSheetId="24">'[6]OSSE Only'!$A$6:$A$7</definedName>
    <definedName name="check">Sheet1!$A$3:$A$4</definedName>
    <definedName name="check2" localSheetId="20">'[7]1'!$A$61:$A$62</definedName>
    <definedName name="check2" localSheetId="3">'[5]1'!$A$61:$A$62</definedName>
    <definedName name="check2">'1'!$A$61:$A$62</definedName>
    <definedName name="consortium">#REF!</definedName>
    <definedName name="decision" localSheetId="1">#REF!</definedName>
    <definedName name="decision" localSheetId="22">'[4]OSSE Only'!$A$28:$A$30</definedName>
    <definedName name="decision" localSheetId="24">'[6]OSSE Only'!$A$28:$A$30</definedName>
    <definedName name="decision">'[8]OSSE Only'!$A$28:$A$30</definedName>
    <definedName name="dropdown">[9]Sheet1!$A$3:$A$4</definedName>
    <definedName name="ELLamount" localSheetId="1">[1]AppleTree:NationalCollegiate!$C$27</definedName>
    <definedName name="ELLamount">[1]AppleTree:NationalCollegiate!$C$27</definedName>
    <definedName name="ELLno" localSheetId="1">[1]AppleTree:NationalCollegiate!$B$27</definedName>
    <definedName name="ELLno">[1]AppleTree:NationalCollegiate!$B$27</definedName>
    <definedName name="funds" localSheetId="1">#REF!</definedName>
    <definedName name="funds" localSheetId="22">'[4]OSSE Only'!$A$16:$A$18</definedName>
    <definedName name="funds" localSheetId="24">'[6]OSSE Only'!$A$16:$A$18</definedName>
    <definedName name="funds">'[8]OSSE Only'!$A$16:$A$18</definedName>
    <definedName name="genedamount" localSheetId="1">[1]AppleTree:NationalCollegiate!$C$19</definedName>
    <definedName name="genedamount">[1]AppleTree:NationalCollegiate!$C$19</definedName>
    <definedName name="generalsubtotal" localSheetId="1">[1]AppleTree:NationalCollegiate!$B$19</definedName>
    <definedName name="generalsubtotal">[1]AppleTree:NationalCollegiate!$B$19</definedName>
    <definedName name="grade" localSheetId="1">'[10]OSSE Only'!$A$12:$A$13</definedName>
    <definedName name="grade">'[10]OSSE Only'!$A$12:$A$13</definedName>
    <definedName name="highno" localSheetId="1">[1]AppleTree:NationalCollegiate!$B$14</definedName>
    <definedName name="highno">[1]AppleTree:NationalCollegiate!$B$14</definedName>
    <definedName name="improvement" localSheetId="1">#REF!</definedName>
    <definedName name="improvement" localSheetId="22">'[4]OSSE Only'!$A$9:$A$14</definedName>
    <definedName name="improvement" localSheetId="24">'[6]OSSE Only'!$A$9:$A$14</definedName>
    <definedName name="improvement">'[8]OSSE Only'!$A$9:$A$14</definedName>
    <definedName name="kno" localSheetId="1">[1]AppleTree:NationalCollegiate!$B$8</definedName>
    <definedName name="kno">[1]AppleTree:NationalCollegiate!$B$8</definedName>
    <definedName name="LEA" localSheetId="3">[5]Sheet1!$E$1:$E$62</definedName>
    <definedName name="LEA">Sheet1!$E$1:$E$65</definedName>
    <definedName name="lowerno" localSheetId="1">[1]AppleTree:NationalCollegiate!$B$9</definedName>
    <definedName name="lowerno">[1]AppleTree:NationalCollegiate!$B$9</definedName>
    <definedName name="middleno" localSheetId="1">[1]AppleTree:NationalCollegiate!$B$12</definedName>
    <definedName name="middleno">[1]AppleTree:NationalCollegiate!$B$12</definedName>
    <definedName name="prekno" localSheetId="1">[1]AppleTree:NationalCollegiate!$B$7</definedName>
    <definedName name="prekno">[1]AppleTree:NationalCollegiate!$B$7</definedName>
    <definedName name="presno" localSheetId="1">[1]AppleTree:NationalCollegiate!$B$6</definedName>
    <definedName name="presno">[1]AppleTree:NationalCollegiate!$B$6</definedName>
    <definedName name="_xlnm.Print_Area" localSheetId="1">'1'!$A$1:$J$60</definedName>
    <definedName name="_xlnm.Print_Area" localSheetId="11">'10'!$A$1:$K$85</definedName>
    <definedName name="_xlnm.Print_Area" localSheetId="12">'11'!$A$1:$J$86</definedName>
    <definedName name="_xlnm.Print_Area" localSheetId="13">'12'!$A$1:$J$419</definedName>
    <definedName name="_xlnm.Print_Area" localSheetId="14">'13'!$A$1:$K$214</definedName>
    <definedName name="_xlnm.Print_Area" localSheetId="15">'14'!$A$1:$K$85</definedName>
    <definedName name="_xlnm.Print_Area" localSheetId="16">'15'!$A$1:$J$68</definedName>
    <definedName name="_xlnm.Print_Area" localSheetId="17">'16'!$A$1:$J$419</definedName>
    <definedName name="_xlnm.Print_Area" localSheetId="18">'17'!$A$1:$K$214</definedName>
    <definedName name="_xlnm.Print_Area" localSheetId="19">'18'!$A$1:$K$85</definedName>
    <definedName name="_xlnm.Print_Area" localSheetId="20">'19'!$A$1:$J$135</definedName>
    <definedName name="_xlnm.Print_Area" localSheetId="22">'21'!$A$1:$I$90</definedName>
    <definedName name="_xlnm.Print_Area" localSheetId="2">'2a'!$A$6:$J$380</definedName>
    <definedName name="_xlnm.Print_Area" localSheetId="3">'2b'!$A$1:$J$292</definedName>
    <definedName name="_xlnm.Print_Area" localSheetId="4">'3'!$A$1:$J$22</definedName>
    <definedName name="_xlnm.Print_Area" localSheetId="5">'4'!$A$1:$J$315</definedName>
    <definedName name="_xlnm.Print_Area" localSheetId="6">'5'!$A$1:$J$420</definedName>
    <definedName name="_xlnm.Print_Area" localSheetId="7">'6'!$A$1:$J$246</definedName>
    <definedName name="_xlnm.Print_Area" localSheetId="8">'7'!$A$1:$K$50</definedName>
    <definedName name="_xlnm.Print_Area" localSheetId="9">'8'!$A$1:$J$420</definedName>
    <definedName name="_xlnm.Print_Area" localSheetId="10">'9'!$A$1:$K$246</definedName>
    <definedName name="_xlnm.Print_Area" localSheetId="0">Contents!$A$1:$J$39</definedName>
    <definedName name="program" localSheetId="20">[7]Sheet1!$A$6:$A$11</definedName>
    <definedName name="program" localSheetId="3">[5]Sheet1!$A$6:$A$11</definedName>
    <definedName name="program">Sheet1!$A$6:$A$11</definedName>
    <definedName name="programs" localSheetId="1">#REF!</definedName>
    <definedName name="programs" localSheetId="22">'[4]OSSE Only'!$A$21:$A$26</definedName>
    <definedName name="programs" localSheetId="24">'[6]OSSE Only'!$A$21:$A$26</definedName>
    <definedName name="programs">'[8]OSSE Only'!$A$21:$A$26</definedName>
    <definedName name="setasides" localSheetId="20">'[7]10'!$C$9:$C$18</definedName>
    <definedName name="setasides" localSheetId="3">'[5]10'!$C$9:$C$18</definedName>
    <definedName name="setasides" localSheetId="8">'7'!$C$9:$C$14</definedName>
    <definedName name="setasides">'10'!$C$9:$C$18</definedName>
    <definedName name="setasides2" localSheetId="20">'[7]14'!$C$9:$C$18</definedName>
    <definedName name="setasides2" localSheetId="3">'[5]14'!$C$9:$C$18</definedName>
    <definedName name="setasides2">'14'!$C$9:$C$18</definedName>
    <definedName name="setasides3" localSheetId="20">'[7]18'!$C$9:$C$18</definedName>
    <definedName name="setasides3" localSheetId="3">'[5]18'!$C$9:$C$18</definedName>
    <definedName name="setasides3">'18'!$C$9:$C$18</definedName>
    <definedName name="signature" localSheetId="3">[5]Sheet1!$A$1:$A$2</definedName>
    <definedName name="signature">Sheet1!$A$1:$A$2</definedName>
    <definedName name="sped1no" localSheetId="1">[1]AppleTree:NationalCollegiate!$B$21</definedName>
    <definedName name="sped1no">[1]AppleTree:NationalCollegiate!$B$21</definedName>
    <definedName name="sped2no" localSheetId="1">[1]AppleTree:NationalCollegiate!$B$22</definedName>
    <definedName name="sped2no">[1]AppleTree:NationalCollegiate!$B$22</definedName>
    <definedName name="sped3no" localSheetId="1">[1]AppleTree:NationalCollegiate!$B$23</definedName>
    <definedName name="sped3no">[1]AppleTree:NationalCollegiate!$B$23</definedName>
    <definedName name="sped4no" localSheetId="1">[1]AppleTree:NationalCollegiate!$B$24</definedName>
    <definedName name="sped4no">[1]AppleTree:NationalCollegiate!$B$24</definedName>
    <definedName name="spedamount" localSheetId="1">[1]AppleTree:NationalCollegiate!$C$25</definedName>
    <definedName name="spedamount">[1]AppleTree:NationalCollegiate!$C$25</definedName>
    <definedName name="spedno" localSheetId="1">[1]AppleTree:NationalCollegiate!$B$17</definedName>
    <definedName name="spedno">[1]AppleTree:NationalCollegiate!$B$17</definedName>
    <definedName name="spedsubtotal" localSheetId="1">[1]AppleTree:NationalCollegiate!$B$25</definedName>
    <definedName name="spedsubtotal">[1]AppleTree:NationalCollegiate!$B$25</definedName>
    <definedName name="staff" localSheetId="1">[11]Reference!$A$7:$A$11</definedName>
    <definedName name="staff">[11]Reference!$A$7:$A$11</definedName>
    <definedName name="status" localSheetId="1">'[10]OSSE Only'!$A$15:$A$19</definedName>
    <definedName name="status">'[10]OSSE Only'!$A$15:$A$19</definedName>
    <definedName name="totalallocation" localSheetId="1">[1]AppleTree:NationalCollegiate!$C$28</definedName>
    <definedName name="totalallocation">[1]AppleTree:NationalCollegiate!$C$28</definedName>
    <definedName name="unESno" localSheetId="1">[1]AppleTree:NationalCollegiate!$B$11</definedName>
    <definedName name="unESno">[1]AppleTree:NationalCollegiate!$B$11</definedName>
    <definedName name="unHSno" localSheetId="1">[1]AppleTree:NationalCollegiate!$B$15</definedName>
    <definedName name="unHSno">[1]AppleTree:NationalCollegiate!$B$15</definedName>
    <definedName name="unMSno" localSheetId="1">[1]AppleTree:NationalCollegiate!$B$13</definedName>
    <definedName name="unMSno">[1]AppleTree:NationalCollegiate!$B$13</definedName>
    <definedName name="upperno" localSheetId="1">[1]AppleTree:NationalCollegiate!$B$10</definedName>
    <definedName name="upperno">[1]AppleTree:NationalCollegiate!$B$10</definedName>
    <definedName name="yes" localSheetId="1">'[3]OSSE Only'!$A$3:$A$4</definedName>
    <definedName name="yes" localSheetId="20">[7]Sheet1!$A$13:$A$14</definedName>
    <definedName name="yes" localSheetId="3">[5]Sheet1!$A$13:$A$14</definedName>
    <definedName name="yes" localSheetId="24">[11]Reference!$A$2:$A$5</definedName>
    <definedName name="yes">Sheet1!$A$13:$A$14</definedName>
    <definedName name="yesno" localSheetId="1">'1'!$L$10:$L$10</definedName>
    <definedName name="yesno" localSheetId="12">#REF!</definedName>
    <definedName name="yesno" localSheetId="13">#REF!</definedName>
    <definedName name="yesno" localSheetId="14">#REF!</definedName>
    <definedName name="yesno" localSheetId="15">#REF!</definedName>
    <definedName name="yesno" localSheetId="16">#REF!</definedName>
    <definedName name="yesno" localSheetId="17">#REF!</definedName>
    <definedName name="yesno" localSheetId="18">#REF!</definedName>
    <definedName name="yesno" localSheetId="19">#REF!</definedName>
    <definedName name="yesno" localSheetId="20">#REF!</definedName>
    <definedName name="yesno" localSheetId="22">'[4]1'!$L$13:$L$14</definedName>
    <definedName name="yesno" localSheetId="2">#REF!</definedName>
    <definedName name="yesno" localSheetId="3">#REF!</definedName>
    <definedName name="yesno" localSheetId="4">#REF!</definedName>
    <definedName name="yesno" localSheetId="5">#REF!</definedName>
    <definedName name="yesno" localSheetId="6">#REF!</definedName>
    <definedName name="yesno" localSheetId="7">#REF!</definedName>
    <definedName name="yesno" localSheetId="8">#REF!</definedName>
    <definedName name="yesno" localSheetId="9">#REF!</definedName>
    <definedName name="yesno" localSheetId="10">#REF!</definedName>
    <definedName name="yesno" localSheetId="24">'[6]1'!$L$13:$L$14</definedName>
    <definedName name="yesno">Sheet1!#REF!</definedName>
    <definedName name="yesorno">[2]Sheet1!$A$9:$A$10</definedName>
  </definedNames>
  <calcPr calcId="145621"/>
</workbook>
</file>

<file path=xl/calcChain.xml><?xml version="1.0" encoding="utf-8"?>
<calcChain xmlns="http://schemas.openxmlformats.org/spreadsheetml/2006/main">
  <c r="L20" i="5" l="1"/>
  <c r="L21" i="5"/>
  <c r="L22" i="5"/>
  <c r="L23" i="5"/>
  <c r="K17" i="5"/>
  <c r="L17" i="5" s="1"/>
  <c r="D117" i="42" l="1"/>
  <c r="K117" i="42" s="1"/>
  <c r="D116" i="42"/>
  <c r="K116" i="42" s="1"/>
  <c r="D115" i="42"/>
  <c r="K115" i="42" s="1"/>
  <c r="E115" i="42"/>
  <c r="D114" i="42"/>
  <c r="K114" i="42" s="1"/>
  <c r="D47" i="42"/>
  <c r="D46" i="42"/>
  <c r="D36" i="42"/>
  <c r="E36" i="42" s="1"/>
  <c r="D33" i="42"/>
  <c r="E33" i="42"/>
  <c r="D32" i="42"/>
  <c r="E32" i="42"/>
  <c r="D31" i="42"/>
  <c r="E31" i="42"/>
  <c r="D30" i="42"/>
  <c r="K30" i="42"/>
  <c r="D29" i="42"/>
  <c r="K29" i="42"/>
  <c r="D28" i="42"/>
  <c r="K28" i="42"/>
  <c r="D27" i="42"/>
  <c r="E27" i="42"/>
  <c r="D26" i="42"/>
  <c r="K26" i="42" s="1"/>
  <c r="D25" i="42"/>
  <c r="E25" i="42" s="1"/>
  <c r="D24" i="42"/>
  <c r="E24" i="42" s="1"/>
  <c r="D23" i="42"/>
  <c r="E23" i="42" s="1"/>
  <c r="D21" i="42"/>
  <c r="E21" i="42" s="1"/>
  <c r="D40" i="42"/>
  <c r="E40" i="42" s="1"/>
  <c r="D38" i="42"/>
  <c r="E38" i="42" s="1"/>
  <c r="D37" i="42"/>
  <c r="E37" i="42" s="1"/>
  <c r="K36" i="42"/>
  <c r="K33" i="42"/>
  <c r="K32" i="42"/>
  <c r="K31" i="42"/>
  <c r="E30" i="42"/>
  <c r="E29" i="42"/>
  <c r="E28" i="42"/>
  <c r="E26" i="42"/>
  <c r="K24" i="42"/>
  <c r="K27" i="42"/>
  <c r="K25" i="42"/>
  <c r="K37" i="42"/>
  <c r="F379" i="28"/>
  <c r="F13" i="44"/>
  <c r="D35" i="42" s="1"/>
  <c r="F8" i="28"/>
  <c r="D22" i="42" s="1"/>
  <c r="D50" i="42"/>
  <c r="E50" i="42" s="1"/>
  <c r="K47" i="42"/>
  <c r="D64" i="42"/>
  <c r="E64" i="42" s="1"/>
  <c r="D95" i="42"/>
  <c r="E95" i="42" s="1"/>
  <c r="D78" i="42"/>
  <c r="E78" i="42" s="1"/>
  <c r="D52" i="42"/>
  <c r="E52" i="42" s="1"/>
  <c r="L213" i="21"/>
  <c r="L212" i="21"/>
  <c r="L211" i="21"/>
  <c r="L210" i="21"/>
  <c r="L209" i="21"/>
  <c r="L208" i="21"/>
  <c r="L207" i="21"/>
  <c r="L206" i="21"/>
  <c r="L205" i="21"/>
  <c r="L204" i="21"/>
  <c r="L203" i="21"/>
  <c r="L202" i="21"/>
  <c r="L201" i="21"/>
  <c r="L200" i="21"/>
  <c r="L199" i="21"/>
  <c r="L198" i="21"/>
  <c r="L197" i="21"/>
  <c r="L196" i="21"/>
  <c r="L195" i="21"/>
  <c r="L194" i="21"/>
  <c r="L193" i="21"/>
  <c r="L192" i="21"/>
  <c r="L191" i="21"/>
  <c r="L190" i="21"/>
  <c r="L189" i="21"/>
  <c r="L178" i="21"/>
  <c r="L177" i="21"/>
  <c r="L176" i="21"/>
  <c r="L175" i="21"/>
  <c r="L174" i="21"/>
  <c r="L173" i="21"/>
  <c r="L172" i="21"/>
  <c r="L171" i="21"/>
  <c r="L170" i="21"/>
  <c r="L169" i="21"/>
  <c r="L168" i="21"/>
  <c r="L167" i="21"/>
  <c r="L166" i="21"/>
  <c r="L165" i="21"/>
  <c r="L164" i="21"/>
  <c r="L163" i="21"/>
  <c r="L162" i="21"/>
  <c r="L161" i="21"/>
  <c r="L160" i="21"/>
  <c r="L159" i="21"/>
  <c r="L158" i="21"/>
  <c r="L157" i="21"/>
  <c r="L156" i="21"/>
  <c r="L155" i="21"/>
  <c r="L154" i="21"/>
  <c r="L143" i="21"/>
  <c r="L142" i="21"/>
  <c r="L141" i="21"/>
  <c r="L140" i="21"/>
  <c r="L139" i="21"/>
  <c r="L138" i="21"/>
  <c r="L137" i="21"/>
  <c r="L136" i="21"/>
  <c r="L135" i="21"/>
  <c r="L134" i="21"/>
  <c r="L133" i="21"/>
  <c r="L132" i="21"/>
  <c r="L131" i="21"/>
  <c r="L130" i="21"/>
  <c r="L129" i="21"/>
  <c r="L128" i="21"/>
  <c r="L127" i="21"/>
  <c r="L126" i="21"/>
  <c r="L125" i="21"/>
  <c r="L124" i="21"/>
  <c r="L123" i="21"/>
  <c r="L122" i="21"/>
  <c r="L121" i="21"/>
  <c r="L120" i="21"/>
  <c r="L119" i="21"/>
  <c r="L108" i="21"/>
  <c r="L107" i="21"/>
  <c r="L106" i="21"/>
  <c r="L105" i="21"/>
  <c r="L104" i="21"/>
  <c r="L103" i="21"/>
  <c r="L102" i="21"/>
  <c r="L101" i="21"/>
  <c r="L100" i="21"/>
  <c r="L99" i="21"/>
  <c r="L98" i="21"/>
  <c r="L97" i="21"/>
  <c r="L96" i="21"/>
  <c r="L95" i="21"/>
  <c r="L94" i="21"/>
  <c r="L93" i="21"/>
  <c r="L92" i="21"/>
  <c r="L91" i="21"/>
  <c r="L90" i="21"/>
  <c r="L89" i="21"/>
  <c r="L88" i="21"/>
  <c r="L87" i="21"/>
  <c r="L86" i="21"/>
  <c r="L85" i="21"/>
  <c r="L84" i="21"/>
  <c r="L73" i="21"/>
  <c r="L72" i="21"/>
  <c r="L71" i="21"/>
  <c r="L70" i="21"/>
  <c r="L69" i="21"/>
  <c r="L68" i="21"/>
  <c r="L67" i="21"/>
  <c r="L66" i="21"/>
  <c r="L65" i="21"/>
  <c r="L64" i="21"/>
  <c r="L63" i="21"/>
  <c r="L62" i="21"/>
  <c r="L61" i="21"/>
  <c r="L60" i="21"/>
  <c r="L59" i="21"/>
  <c r="L58" i="21"/>
  <c r="L57" i="21"/>
  <c r="L56" i="21"/>
  <c r="L55" i="21"/>
  <c r="L54" i="21"/>
  <c r="L53" i="21"/>
  <c r="L52" i="21"/>
  <c r="L51" i="21"/>
  <c r="L50" i="21"/>
  <c r="L49" i="21"/>
  <c r="L213" i="20"/>
  <c r="L212" i="20"/>
  <c r="L211" i="20"/>
  <c r="L210" i="20"/>
  <c r="L209" i="20"/>
  <c r="L208" i="20"/>
  <c r="L207" i="20"/>
  <c r="L206" i="20"/>
  <c r="L205" i="20"/>
  <c r="L204" i="20"/>
  <c r="L203" i="20"/>
  <c r="L202" i="20"/>
  <c r="L201" i="20"/>
  <c r="L200" i="20"/>
  <c r="L199" i="20"/>
  <c r="L198" i="20"/>
  <c r="L197" i="20"/>
  <c r="L196" i="20"/>
  <c r="L195" i="20"/>
  <c r="L194" i="20"/>
  <c r="L193" i="20"/>
  <c r="L192" i="20"/>
  <c r="L191" i="20"/>
  <c r="L190" i="20"/>
  <c r="L189" i="20"/>
  <c r="L178" i="20"/>
  <c r="L177" i="20"/>
  <c r="L176" i="20"/>
  <c r="L175" i="20"/>
  <c r="L174" i="20"/>
  <c r="L173" i="20"/>
  <c r="L172" i="20"/>
  <c r="L171" i="20"/>
  <c r="L170" i="20"/>
  <c r="L169" i="20"/>
  <c r="L168" i="20"/>
  <c r="L167" i="20"/>
  <c r="L166" i="20"/>
  <c r="L165" i="20"/>
  <c r="L164" i="20"/>
  <c r="L163" i="20"/>
  <c r="L162" i="20"/>
  <c r="L161" i="20"/>
  <c r="L160" i="20"/>
  <c r="L159" i="20"/>
  <c r="L158" i="20"/>
  <c r="L157" i="20"/>
  <c r="L156" i="20"/>
  <c r="L155" i="20"/>
  <c r="L154" i="20"/>
  <c r="L143" i="20"/>
  <c r="L142" i="20"/>
  <c r="L141" i="20"/>
  <c r="L140" i="20"/>
  <c r="L139" i="20"/>
  <c r="L138" i="20"/>
  <c r="L137" i="20"/>
  <c r="L136" i="20"/>
  <c r="L135" i="20"/>
  <c r="L134" i="20"/>
  <c r="L133" i="20"/>
  <c r="L132" i="20"/>
  <c r="L131" i="20"/>
  <c r="L130" i="20"/>
  <c r="L129" i="20"/>
  <c r="L128" i="20"/>
  <c r="L127" i="20"/>
  <c r="L126" i="20"/>
  <c r="L125" i="20"/>
  <c r="L124" i="20"/>
  <c r="L123" i="20"/>
  <c r="L122" i="20"/>
  <c r="L121" i="20"/>
  <c r="L120" i="20"/>
  <c r="L119" i="20"/>
  <c r="L108" i="20"/>
  <c r="L107" i="20"/>
  <c r="L106" i="20"/>
  <c r="L105" i="20"/>
  <c r="L104" i="20"/>
  <c r="L103" i="20"/>
  <c r="L102" i="20"/>
  <c r="L101" i="20"/>
  <c r="L100" i="20"/>
  <c r="L99" i="20"/>
  <c r="L98" i="20"/>
  <c r="L97" i="20"/>
  <c r="L96" i="20"/>
  <c r="L95" i="20"/>
  <c r="L94" i="20"/>
  <c r="L93" i="20"/>
  <c r="L92" i="20"/>
  <c r="L91" i="20"/>
  <c r="L90" i="20"/>
  <c r="L89" i="20"/>
  <c r="L88" i="20"/>
  <c r="L87" i="20"/>
  <c r="L86" i="20"/>
  <c r="L85" i="20"/>
  <c r="L84" i="20"/>
  <c r="L73" i="20"/>
  <c r="L72" i="20"/>
  <c r="L71" i="20"/>
  <c r="L70" i="20"/>
  <c r="L69" i="20"/>
  <c r="L68" i="20"/>
  <c r="L67" i="20"/>
  <c r="L66" i="20"/>
  <c r="L65" i="20"/>
  <c r="L64" i="20"/>
  <c r="L63" i="20"/>
  <c r="L62" i="20"/>
  <c r="L61" i="20"/>
  <c r="L60" i="20"/>
  <c r="L59" i="20"/>
  <c r="L58" i="20"/>
  <c r="L57" i="20"/>
  <c r="L56" i="20"/>
  <c r="L55" i="20"/>
  <c r="L54" i="20"/>
  <c r="L53" i="20"/>
  <c r="L52" i="20"/>
  <c r="L51" i="20"/>
  <c r="L50" i="20"/>
  <c r="L49" i="20"/>
  <c r="K245" i="5"/>
  <c r="K244" i="5"/>
  <c r="K243" i="5"/>
  <c r="K242" i="5"/>
  <c r="K241" i="5"/>
  <c r="K240" i="5"/>
  <c r="K239" i="5"/>
  <c r="K238" i="5"/>
  <c r="K237" i="5"/>
  <c r="K236" i="5"/>
  <c r="K235" i="5"/>
  <c r="K234" i="5"/>
  <c r="K233" i="5"/>
  <c r="K232" i="5"/>
  <c r="K231" i="5"/>
  <c r="K230" i="5"/>
  <c r="K229" i="5"/>
  <c r="K228" i="5"/>
  <c r="K227" i="5"/>
  <c r="K226" i="5"/>
  <c r="K225" i="5"/>
  <c r="K224" i="5"/>
  <c r="K223" i="5"/>
  <c r="K222" i="5"/>
  <c r="L222" i="5" s="1"/>
  <c r="K221" i="5"/>
  <c r="K210" i="5"/>
  <c r="K209" i="5"/>
  <c r="K208" i="5"/>
  <c r="K207" i="5"/>
  <c r="K206" i="5"/>
  <c r="K205" i="5"/>
  <c r="K204" i="5"/>
  <c r="K203" i="5"/>
  <c r="K202" i="5"/>
  <c r="K201" i="5"/>
  <c r="K200" i="5"/>
  <c r="K199" i="5"/>
  <c r="K198" i="5"/>
  <c r="K197" i="5"/>
  <c r="K196" i="5"/>
  <c r="K195" i="5"/>
  <c r="K194" i="5"/>
  <c r="K193" i="5"/>
  <c r="K192" i="5"/>
  <c r="K191" i="5"/>
  <c r="K190" i="5"/>
  <c r="K189" i="5"/>
  <c r="K188" i="5"/>
  <c r="K187" i="5"/>
  <c r="K186" i="5"/>
  <c r="K175" i="5"/>
  <c r="K174" i="5"/>
  <c r="K173" i="5"/>
  <c r="K172" i="5"/>
  <c r="K171" i="5"/>
  <c r="K170" i="5"/>
  <c r="K169" i="5"/>
  <c r="K168" i="5"/>
  <c r="K167" i="5"/>
  <c r="K166" i="5"/>
  <c r="K165" i="5"/>
  <c r="K164" i="5"/>
  <c r="K163" i="5"/>
  <c r="K162" i="5"/>
  <c r="K161" i="5"/>
  <c r="K160" i="5"/>
  <c r="K159" i="5"/>
  <c r="K158" i="5"/>
  <c r="K157" i="5"/>
  <c r="K156" i="5"/>
  <c r="K155" i="5"/>
  <c r="K154" i="5"/>
  <c r="K153" i="5"/>
  <c r="K152" i="5"/>
  <c r="K151" i="5"/>
  <c r="L151" i="5" s="1"/>
  <c r="K140" i="5"/>
  <c r="K139" i="5"/>
  <c r="K138" i="5"/>
  <c r="K137" i="5"/>
  <c r="K136" i="5"/>
  <c r="K135" i="5"/>
  <c r="K134" i="5"/>
  <c r="K133" i="5"/>
  <c r="K132" i="5"/>
  <c r="K131" i="5"/>
  <c r="K130" i="5"/>
  <c r="K129" i="5"/>
  <c r="K128" i="5"/>
  <c r="K127" i="5"/>
  <c r="K126" i="5"/>
  <c r="K125" i="5"/>
  <c r="K124" i="5"/>
  <c r="K123" i="5"/>
  <c r="K122" i="5"/>
  <c r="K121" i="5"/>
  <c r="K120" i="5"/>
  <c r="K119" i="5"/>
  <c r="K118" i="5"/>
  <c r="K117" i="5"/>
  <c r="K116" i="5"/>
  <c r="K105" i="5"/>
  <c r="K104" i="5"/>
  <c r="K103" i="5"/>
  <c r="K102" i="5"/>
  <c r="K101" i="5"/>
  <c r="K100" i="5"/>
  <c r="K99" i="5"/>
  <c r="K98" i="5"/>
  <c r="K97" i="5"/>
  <c r="K96" i="5"/>
  <c r="K95" i="5"/>
  <c r="K94" i="5"/>
  <c r="K93" i="5"/>
  <c r="K92" i="5"/>
  <c r="K91" i="5"/>
  <c r="K90" i="5"/>
  <c r="K89" i="5"/>
  <c r="K88" i="5"/>
  <c r="K87" i="5"/>
  <c r="K86" i="5"/>
  <c r="K85" i="5"/>
  <c r="K84" i="5"/>
  <c r="K83" i="5"/>
  <c r="K82" i="5"/>
  <c r="K81" i="5"/>
  <c r="L245" i="16"/>
  <c r="L244" i="16"/>
  <c r="L243" i="16"/>
  <c r="L242" i="16"/>
  <c r="L241" i="16"/>
  <c r="L240" i="16"/>
  <c r="L239" i="16"/>
  <c r="L238" i="16"/>
  <c r="L237" i="16"/>
  <c r="L236" i="16"/>
  <c r="L235" i="16"/>
  <c r="L234" i="16"/>
  <c r="L233" i="16"/>
  <c r="L232" i="16"/>
  <c r="L231" i="16"/>
  <c r="L230" i="16"/>
  <c r="L229" i="16"/>
  <c r="L228" i="16"/>
  <c r="L227" i="16"/>
  <c r="L226" i="16"/>
  <c r="L225" i="16"/>
  <c r="L224" i="16"/>
  <c r="L223" i="16"/>
  <c r="L222" i="16"/>
  <c r="L221" i="16"/>
  <c r="L210" i="16"/>
  <c r="L209" i="16"/>
  <c r="L208" i="16"/>
  <c r="L207" i="16"/>
  <c r="L206" i="16"/>
  <c r="L205" i="16"/>
  <c r="L204" i="16"/>
  <c r="L203" i="16"/>
  <c r="L202" i="16"/>
  <c r="L201" i="16"/>
  <c r="L200" i="16"/>
  <c r="L199" i="16"/>
  <c r="L198" i="16"/>
  <c r="L197" i="16"/>
  <c r="L196" i="16"/>
  <c r="M196" i="16"/>
  <c r="L195" i="16"/>
  <c r="M195" i="16"/>
  <c r="L194" i="16"/>
  <c r="L193" i="16"/>
  <c r="L192" i="16"/>
  <c r="L191" i="16"/>
  <c r="L190" i="16"/>
  <c r="L189" i="16"/>
  <c r="L188" i="16"/>
  <c r="L187" i="16"/>
  <c r="L186" i="16"/>
  <c r="L175" i="16"/>
  <c r="L174" i="16"/>
  <c r="L173" i="16"/>
  <c r="L172" i="16"/>
  <c r="L171" i="16"/>
  <c r="L170" i="16"/>
  <c r="L169" i="16"/>
  <c r="L168" i="16"/>
  <c r="L167" i="16"/>
  <c r="L166" i="16"/>
  <c r="L165" i="16"/>
  <c r="L164" i="16"/>
  <c r="L163" i="16"/>
  <c r="L162" i="16"/>
  <c r="M162" i="16"/>
  <c r="L161" i="16"/>
  <c r="L160" i="16"/>
  <c r="L159" i="16"/>
  <c r="L158" i="16"/>
  <c r="L157" i="16"/>
  <c r="L156" i="16"/>
  <c r="L155" i="16"/>
  <c r="L154" i="16"/>
  <c r="L153" i="16"/>
  <c r="L152" i="16"/>
  <c r="L151" i="16"/>
  <c r="L140" i="16"/>
  <c r="L139" i="16"/>
  <c r="L138" i="16"/>
  <c r="L137" i="16"/>
  <c r="L136" i="16"/>
  <c r="L135" i="16"/>
  <c r="L134" i="16"/>
  <c r="L133" i="16"/>
  <c r="L132" i="16"/>
  <c r="L131" i="16"/>
  <c r="L130" i="16"/>
  <c r="L129" i="16"/>
  <c r="L128" i="16"/>
  <c r="L127" i="16"/>
  <c r="L126" i="16"/>
  <c r="L125" i="16"/>
  <c r="L124" i="16"/>
  <c r="L123" i="16"/>
  <c r="L122" i="16"/>
  <c r="L121" i="16"/>
  <c r="L120" i="16"/>
  <c r="L119" i="16"/>
  <c r="L118" i="16"/>
  <c r="L117" i="16"/>
  <c r="L116" i="16"/>
  <c r="L105" i="16"/>
  <c r="L104" i="16"/>
  <c r="L103" i="16"/>
  <c r="L102" i="16"/>
  <c r="L101" i="16"/>
  <c r="L100" i="16"/>
  <c r="L99" i="16"/>
  <c r="L98" i="16"/>
  <c r="L97" i="16"/>
  <c r="L96" i="16"/>
  <c r="L95" i="16"/>
  <c r="L94" i="16"/>
  <c r="L93" i="16"/>
  <c r="L92" i="16"/>
  <c r="L91" i="16"/>
  <c r="L90" i="16"/>
  <c r="M90" i="16" s="1"/>
  <c r="L89" i="16"/>
  <c r="L88" i="16"/>
  <c r="L87" i="16"/>
  <c r="L86" i="16"/>
  <c r="L85" i="16"/>
  <c r="L84" i="16"/>
  <c r="L83" i="16"/>
  <c r="L82" i="16"/>
  <c r="L81" i="16"/>
  <c r="D49" i="42"/>
  <c r="E49" i="42" s="1"/>
  <c r="D48" i="42"/>
  <c r="E48" i="42" s="1"/>
  <c r="E46" i="42"/>
  <c r="D45" i="42"/>
  <c r="E45" i="42" s="1"/>
  <c r="D91" i="42"/>
  <c r="E91" i="42" s="1"/>
  <c r="D90" i="42"/>
  <c r="E90" i="42" s="1"/>
  <c r="D76" i="42"/>
  <c r="K76" i="42" s="1"/>
  <c r="F22" i="29"/>
  <c r="D53" i="42" s="1"/>
  <c r="D79" i="42"/>
  <c r="E79" i="42" s="1"/>
  <c r="D93" i="42"/>
  <c r="E93" i="42" s="1"/>
  <c r="D94" i="42"/>
  <c r="E94" i="42" s="1"/>
  <c r="D96" i="42"/>
  <c r="E96" i="42" s="1"/>
  <c r="K95" i="42"/>
  <c r="D43" i="42"/>
  <c r="E43" i="42" s="1"/>
  <c r="D42" i="42"/>
  <c r="E42" i="42" s="1"/>
  <c r="K12" i="5"/>
  <c r="L12" i="5" s="1"/>
  <c r="K13" i="5"/>
  <c r="L13" i="5" s="1"/>
  <c r="K14" i="5"/>
  <c r="L14" i="5" s="1"/>
  <c r="K15" i="5"/>
  <c r="L15" i="5" s="1"/>
  <c r="K16" i="5"/>
  <c r="L16" i="5" s="1"/>
  <c r="K18" i="5"/>
  <c r="L18" i="5" s="1"/>
  <c r="K19" i="5"/>
  <c r="L19" i="5" s="1"/>
  <c r="K20" i="5"/>
  <c r="K21" i="5"/>
  <c r="K22" i="5"/>
  <c r="K23" i="5"/>
  <c r="K24" i="5"/>
  <c r="L24" i="5" s="1"/>
  <c r="K25" i="5"/>
  <c r="L25" i="5" s="1"/>
  <c r="K26" i="5"/>
  <c r="L26" i="5" s="1"/>
  <c r="K27" i="5"/>
  <c r="L27" i="5" s="1"/>
  <c r="K28" i="5"/>
  <c r="L28" i="5" s="1"/>
  <c r="K29" i="5"/>
  <c r="L29" i="5" s="1"/>
  <c r="K30" i="5"/>
  <c r="L30" i="5" s="1"/>
  <c r="K31" i="5"/>
  <c r="L31" i="5" s="1"/>
  <c r="K32" i="5"/>
  <c r="L32" i="5" s="1"/>
  <c r="K33" i="5"/>
  <c r="L33" i="5" s="1"/>
  <c r="K34" i="5"/>
  <c r="L34" i="5" s="1"/>
  <c r="K35" i="5"/>
  <c r="L35" i="5" s="1"/>
  <c r="K36" i="5"/>
  <c r="L36" i="5" s="1"/>
  <c r="K37" i="5"/>
  <c r="L37" i="5" s="1"/>
  <c r="K38" i="5"/>
  <c r="L38" i="5" s="1"/>
  <c r="K39" i="5"/>
  <c r="L39" i="5" s="1"/>
  <c r="K40" i="5"/>
  <c r="L40" i="5" s="1"/>
  <c r="K41" i="5"/>
  <c r="L41" i="5" s="1"/>
  <c r="K42" i="5"/>
  <c r="L42" i="5" s="1"/>
  <c r="K43" i="5"/>
  <c r="L43" i="5" s="1"/>
  <c r="K44" i="5"/>
  <c r="L44" i="5" s="1"/>
  <c r="K45" i="5"/>
  <c r="L45" i="5" s="1"/>
  <c r="K46" i="5"/>
  <c r="L46" i="5" s="1"/>
  <c r="K47" i="5"/>
  <c r="L47" i="5" s="1"/>
  <c r="K48" i="5"/>
  <c r="L48" i="5" s="1"/>
  <c r="K49" i="5"/>
  <c r="L49" i="5" s="1"/>
  <c r="K50" i="5"/>
  <c r="L50" i="5" s="1"/>
  <c r="K51" i="5"/>
  <c r="L51" i="5" s="1"/>
  <c r="K52" i="5"/>
  <c r="L52" i="5" s="1"/>
  <c r="K53" i="5"/>
  <c r="L53" i="5" s="1"/>
  <c r="K54" i="5"/>
  <c r="L54" i="5" s="1"/>
  <c r="K55" i="5"/>
  <c r="L55" i="5" s="1"/>
  <c r="K56" i="5"/>
  <c r="L56" i="5" s="1"/>
  <c r="K57" i="5"/>
  <c r="L57" i="5" s="1"/>
  <c r="K58" i="5"/>
  <c r="L58" i="5" s="1"/>
  <c r="K59" i="5"/>
  <c r="L59" i="5" s="1"/>
  <c r="K60" i="5"/>
  <c r="L60" i="5" s="1"/>
  <c r="K61" i="5"/>
  <c r="L61" i="5" s="1"/>
  <c r="K62" i="5"/>
  <c r="L62" i="5" s="1"/>
  <c r="K63" i="5"/>
  <c r="L63" i="5" s="1"/>
  <c r="K64" i="5"/>
  <c r="L64" i="5" s="1"/>
  <c r="K65" i="5"/>
  <c r="L65" i="5" s="1"/>
  <c r="K66" i="5"/>
  <c r="L66" i="5" s="1"/>
  <c r="K67" i="5"/>
  <c r="L67" i="5" s="1"/>
  <c r="K68" i="5"/>
  <c r="L68" i="5" s="1"/>
  <c r="K69" i="5"/>
  <c r="L69" i="5" s="1"/>
  <c r="K70" i="5"/>
  <c r="L70" i="5" s="1"/>
  <c r="L14" i="20"/>
  <c r="M14" i="20" s="1"/>
  <c r="L15" i="20"/>
  <c r="M15" i="20" s="1"/>
  <c r="L16" i="20"/>
  <c r="M16" i="20" s="1"/>
  <c r="L17" i="20"/>
  <c r="M17" i="20" s="1"/>
  <c r="L18" i="20"/>
  <c r="M18" i="20" s="1"/>
  <c r="M39" i="20" s="1"/>
  <c r="D81" i="42" s="1"/>
  <c r="K81" i="42" s="1"/>
  <c r="L19" i="20"/>
  <c r="M19" i="20" s="1"/>
  <c r="L20" i="20"/>
  <c r="M20" i="20" s="1"/>
  <c r="L21" i="20"/>
  <c r="M21" i="20" s="1"/>
  <c r="L22" i="20"/>
  <c r="M22" i="20" s="1"/>
  <c r="L23" i="20"/>
  <c r="M23" i="20" s="1"/>
  <c r="L24" i="20"/>
  <c r="M24" i="20" s="1"/>
  <c r="L25" i="20"/>
  <c r="M25" i="20" s="1"/>
  <c r="L26" i="20"/>
  <c r="M26" i="20" s="1"/>
  <c r="L27" i="20"/>
  <c r="M27" i="20" s="1"/>
  <c r="L28" i="20"/>
  <c r="M28" i="20" s="1"/>
  <c r="L29" i="20"/>
  <c r="M29" i="20" s="1"/>
  <c r="L30" i="20"/>
  <c r="M30" i="20" s="1"/>
  <c r="L31" i="20"/>
  <c r="M31" i="20" s="1"/>
  <c r="L32" i="20"/>
  <c r="M32" i="20" s="1"/>
  <c r="L33" i="20"/>
  <c r="M33" i="20" s="1"/>
  <c r="L34" i="20"/>
  <c r="M34" i="20" s="1"/>
  <c r="L35" i="20"/>
  <c r="M35" i="20" s="1"/>
  <c r="L36" i="20"/>
  <c r="M36" i="20" s="1"/>
  <c r="L37" i="20"/>
  <c r="M37" i="20" s="1"/>
  <c r="L38" i="20"/>
  <c r="M38" i="20" s="1"/>
  <c r="L14" i="21"/>
  <c r="M14" i="21" s="1"/>
  <c r="L15" i="21"/>
  <c r="M15" i="21" s="1"/>
  <c r="L16" i="21"/>
  <c r="M16" i="21" s="1"/>
  <c r="L17" i="21"/>
  <c r="M17" i="21" s="1"/>
  <c r="L18" i="21"/>
  <c r="M18" i="21" s="1"/>
  <c r="L19" i="21"/>
  <c r="M19" i="21" s="1"/>
  <c r="L20" i="21"/>
  <c r="M20" i="21" s="1"/>
  <c r="L21" i="21"/>
  <c r="M21" i="21" s="1"/>
  <c r="L22" i="21"/>
  <c r="M22" i="21" s="1"/>
  <c r="L23" i="21"/>
  <c r="M23" i="21" s="1"/>
  <c r="L24" i="21"/>
  <c r="M24" i="21" s="1"/>
  <c r="L25" i="21"/>
  <c r="M25" i="21" s="1"/>
  <c r="L26" i="21"/>
  <c r="M26" i="21" s="1"/>
  <c r="L27" i="21"/>
  <c r="M27" i="21" s="1"/>
  <c r="L28" i="21"/>
  <c r="M28" i="21" s="1"/>
  <c r="L29" i="21"/>
  <c r="M29" i="21" s="1"/>
  <c r="L30" i="21"/>
  <c r="M30" i="21" s="1"/>
  <c r="L31" i="21"/>
  <c r="M31" i="21" s="1"/>
  <c r="L32" i="21"/>
  <c r="M32" i="21" s="1"/>
  <c r="L33" i="21"/>
  <c r="M33" i="21" s="1"/>
  <c r="L34" i="21"/>
  <c r="M34" i="21" s="1"/>
  <c r="L35" i="21"/>
  <c r="M35" i="21" s="1"/>
  <c r="L36" i="21"/>
  <c r="M36" i="21" s="1"/>
  <c r="L37" i="21"/>
  <c r="M37" i="21" s="1"/>
  <c r="L38" i="21"/>
  <c r="M38" i="21" s="1"/>
  <c r="D112" i="42"/>
  <c r="E112" i="42" s="1"/>
  <c r="D111" i="42"/>
  <c r="E111" i="42" s="1"/>
  <c r="D109" i="42"/>
  <c r="E109" i="42" s="1"/>
  <c r="D110" i="42"/>
  <c r="E110" i="42" s="1"/>
  <c r="D108" i="42"/>
  <c r="K108" i="42" s="1"/>
  <c r="D19" i="42"/>
  <c r="E19" i="42" s="1"/>
  <c r="D18" i="42"/>
  <c r="K18" i="42" s="1"/>
  <c r="D16" i="42"/>
  <c r="E16" i="42" s="1"/>
  <c r="D15" i="42"/>
  <c r="K15" i="42" s="1"/>
  <c r="D14" i="42"/>
  <c r="K14" i="42" s="1"/>
  <c r="D17" i="42"/>
  <c r="K17" i="42" s="1"/>
  <c r="D13" i="42"/>
  <c r="E13" i="42" s="1"/>
  <c r="D12" i="42"/>
  <c r="E12" i="42" s="1"/>
  <c r="K21" i="42"/>
  <c r="N59" i="16"/>
  <c r="L59" i="16"/>
  <c r="M59" i="16" s="1"/>
  <c r="N58" i="16"/>
  <c r="L58" i="16"/>
  <c r="M58" i="16" s="1"/>
  <c r="N57" i="16"/>
  <c r="L57" i="16"/>
  <c r="M57" i="16"/>
  <c r="N56" i="16"/>
  <c r="L56" i="16"/>
  <c r="M56" i="16" s="1"/>
  <c r="N55" i="16"/>
  <c r="L55" i="16"/>
  <c r="M55" i="16" s="1"/>
  <c r="N54" i="16"/>
  <c r="L54" i="16"/>
  <c r="M54" i="16" s="1"/>
  <c r="N53" i="16"/>
  <c r="L53" i="16"/>
  <c r="M53" i="16"/>
  <c r="N52" i="16"/>
  <c r="L52" i="16"/>
  <c r="M52" i="16" s="1"/>
  <c r="N51" i="16"/>
  <c r="L51" i="16"/>
  <c r="M51" i="16" s="1"/>
  <c r="N50" i="16"/>
  <c r="L50" i="16"/>
  <c r="M50" i="16" s="1"/>
  <c r="N37" i="16"/>
  <c r="L37" i="16"/>
  <c r="M37" i="16"/>
  <c r="N36" i="16"/>
  <c r="L36" i="16"/>
  <c r="M36" i="16" s="1"/>
  <c r="N35" i="16"/>
  <c r="L35" i="16"/>
  <c r="M35" i="16" s="1"/>
  <c r="N34" i="16"/>
  <c r="L34" i="16"/>
  <c r="M34" i="16" s="1"/>
  <c r="N33" i="16"/>
  <c r="L33" i="16"/>
  <c r="M33" i="16"/>
  <c r="N32" i="16"/>
  <c r="L32" i="16"/>
  <c r="M32" i="16" s="1"/>
  <c r="N31" i="16"/>
  <c r="L31" i="16"/>
  <c r="M31" i="16" s="1"/>
  <c r="N30" i="16"/>
  <c r="L30" i="16"/>
  <c r="M30" i="16" s="1"/>
  <c r="N29" i="16"/>
  <c r="L29" i="16"/>
  <c r="M29" i="16"/>
  <c r="N28" i="16"/>
  <c r="L28" i="16"/>
  <c r="M28" i="16" s="1"/>
  <c r="N27" i="16"/>
  <c r="L27" i="16"/>
  <c r="M27" i="16" s="1"/>
  <c r="N26" i="16"/>
  <c r="L26" i="16"/>
  <c r="M26" i="16" s="1"/>
  <c r="N25" i="16"/>
  <c r="L25" i="16"/>
  <c r="M25" i="16"/>
  <c r="N24" i="16"/>
  <c r="L24" i="16"/>
  <c r="M24" i="16" s="1"/>
  <c r="N23" i="16"/>
  <c r="L23" i="16"/>
  <c r="M23" i="16" s="1"/>
  <c r="N22" i="16"/>
  <c r="L22" i="16"/>
  <c r="M22" i="16" s="1"/>
  <c r="N21" i="16"/>
  <c r="L21" i="16"/>
  <c r="M21" i="16" s="1"/>
  <c r="N20" i="16"/>
  <c r="L20" i="16"/>
  <c r="M20" i="16" s="1"/>
  <c r="N19" i="16"/>
  <c r="L19" i="16"/>
  <c r="M19" i="16" s="1"/>
  <c r="N18" i="16"/>
  <c r="L18" i="16"/>
  <c r="M18" i="16" s="1"/>
  <c r="N17" i="16"/>
  <c r="L17" i="16"/>
  <c r="M17" i="16" s="1"/>
  <c r="N16" i="16"/>
  <c r="L16" i="16"/>
  <c r="M16" i="16" s="1"/>
  <c r="L15" i="16"/>
  <c r="M15" i="16" s="1"/>
  <c r="L38" i="16"/>
  <c r="M38" i="16"/>
  <c r="L39" i="16"/>
  <c r="M39" i="16"/>
  <c r="L40" i="16"/>
  <c r="M40" i="16"/>
  <c r="L41" i="16"/>
  <c r="M41" i="16"/>
  <c r="L42" i="16"/>
  <c r="M42" i="16"/>
  <c r="L43" i="16"/>
  <c r="M43" i="16"/>
  <c r="L44" i="16"/>
  <c r="M44" i="16"/>
  <c r="L45" i="16"/>
  <c r="M45" i="16"/>
  <c r="L46" i="16"/>
  <c r="M46" i="16"/>
  <c r="L47" i="16"/>
  <c r="M47" i="16"/>
  <c r="L48" i="16"/>
  <c r="M48" i="16"/>
  <c r="L49" i="16"/>
  <c r="M49" i="16"/>
  <c r="L60" i="16"/>
  <c r="M60" i="16"/>
  <c r="L61" i="16"/>
  <c r="M61" i="16"/>
  <c r="L62" i="16"/>
  <c r="M62" i="16"/>
  <c r="L63" i="16"/>
  <c r="M63" i="16"/>
  <c r="L64" i="16"/>
  <c r="M64" i="16"/>
  <c r="L65" i="16"/>
  <c r="M65" i="16"/>
  <c r="L66" i="16"/>
  <c r="M66" i="16"/>
  <c r="L67" i="16"/>
  <c r="M67" i="16"/>
  <c r="L68" i="16"/>
  <c r="M68" i="16"/>
  <c r="L69" i="16"/>
  <c r="M69" i="16"/>
  <c r="L70" i="16"/>
  <c r="M70" i="16"/>
  <c r="N189" i="21"/>
  <c r="N190" i="21"/>
  <c r="N191" i="21"/>
  <c r="N192" i="21"/>
  <c r="N193" i="21"/>
  <c r="N194" i="21"/>
  <c r="N195" i="21"/>
  <c r="N196" i="21"/>
  <c r="N197" i="21"/>
  <c r="N198" i="21"/>
  <c r="N199" i="21"/>
  <c r="N200" i="21"/>
  <c r="N201" i="21"/>
  <c r="N202" i="21"/>
  <c r="N203" i="21"/>
  <c r="N204" i="21"/>
  <c r="N205" i="21"/>
  <c r="N206" i="21"/>
  <c r="N207" i="21"/>
  <c r="N208" i="21"/>
  <c r="N209" i="21"/>
  <c r="N210" i="21"/>
  <c r="N211" i="21"/>
  <c r="N212" i="21"/>
  <c r="N213" i="21"/>
  <c r="I66" i="18"/>
  <c r="N154" i="21"/>
  <c r="N155" i="21"/>
  <c r="N156" i="21"/>
  <c r="N157" i="21"/>
  <c r="N158" i="21"/>
  <c r="N159" i="21"/>
  <c r="N160" i="21"/>
  <c r="N161" i="21"/>
  <c r="N162" i="21"/>
  <c r="N163" i="21"/>
  <c r="N164" i="21"/>
  <c r="N165" i="21"/>
  <c r="N166" i="21"/>
  <c r="N167" i="21"/>
  <c r="N168" i="21"/>
  <c r="N169" i="21"/>
  <c r="N170" i="21"/>
  <c r="N171" i="21"/>
  <c r="N172" i="21"/>
  <c r="N173" i="21"/>
  <c r="N174" i="21"/>
  <c r="N175" i="21"/>
  <c r="N176" i="21"/>
  <c r="N177" i="21"/>
  <c r="N178" i="21"/>
  <c r="H66" i="18"/>
  <c r="N119" i="21"/>
  <c r="N120" i="21"/>
  <c r="N121" i="21"/>
  <c r="N122" i="21"/>
  <c r="N123" i="21"/>
  <c r="N124" i="21"/>
  <c r="N125" i="21"/>
  <c r="N126" i="21"/>
  <c r="N127" i="21"/>
  <c r="N128" i="21"/>
  <c r="N129" i="21"/>
  <c r="N130" i="21"/>
  <c r="N131" i="21"/>
  <c r="N132" i="21"/>
  <c r="N133" i="21"/>
  <c r="N134" i="21"/>
  <c r="N135" i="21"/>
  <c r="N136" i="21"/>
  <c r="N137" i="21"/>
  <c r="N138" i="21"/>
  <c r="N139" i="21"/>
  <c r="N140" i="21"/>
  <c r="N141" i="21"/>
  <c r="N142" i="21"/>
  <c r="N143" i="21"/>
  <c r="G66" i="18"/>
  <c r="N84" i="21"/>
  <c r="N85" i="21"/>
  <c r="N86" i="21"/>
  <c r="N87" i="21"/>
  <c r="N88" i="21"/>
  <c r="N89" i="21"/>
  <c r="N90" i="21"/>
  <c r="N91" i="21"/>
  <c r="N92" i="21"/>
  <c r="N93" i="21"/>
  <c r="N94" i="21"/>
  <c r="N95" i="21"/>
  <c r="N96" i="21"/>
  <c r="N97" i="21"/>
  <c r="F44" i="18" s="1"/>
  <c r="N98" i="21"/>
  <c r="N99" i="21"/>
  <c r="N100" i="21"/>
  <c r="N101" i="21"/>
  <c r="N102" i="21"/>
  <c r="N103" i="21"/>
  <c r="N104" i="21"/>
  <c r="N105" i="21"/>
  <c r="N106" i="21"/>
  <c r="N107" i="21"/>
  <c r="N108" i="21"/>
  <c r="F66" i="18"/>
  <c r="N49" i="21"/>
  <c r="N50" i="21"/>
  <c r="E55" i="18" s="1"/>
  <c r="N51" i="21"/>
  <c r="N52" i="21"/>
  <c r="N53" i="21"/>
  <c r="N54" i="21"/>
  <c r="N55" i="21"/>
  <c r="N56" i="21"/>
  <c r="N57" i="21"/>
  <c r="N58" i="21"/>
  <c r="N59" i="21"/>
  <c r="N60" i="21"/>
  <c r="N61" i="21"/>
  <c r="N62" i="21"/>
  <c r="N63" i="21"/>
  <c r="N64" i="21"/>
  <c r="N65" i="21"/>
  <c r="N66" i="21"/>
  <c r="N67" i="21"/>
  <c r="N68" i="21"/>
  <c r="N69" i="21"/>
  <c r="N70" i="21"/>
  <c r="N71" i="21"/>
  <c r="N72" i="21"/>
  <c r="N73" i="21"/>
  <c r="E66" i="18"/>
  <c r="I55" i="18"/>
  <c r="H55" i="18"/>
  <c r="G55" i="18"/>
  <c r="F55" i="18"/>
  <c r="I44" i="18"/>
  <c r="H44" i="18"/>
  <c r="G44" i="18"/>
  <c r="E44" i="18"/>
  <c r="I33" i="18"/>
  <c r="H33" i="18"/>
  <c r="G33" i="18"/>
  <c r="F33" i="18"/>
  <c r="I22" i="18"/>
  <c r="H22" i="18"/>
  <c r="G22" i="18"/>
  <c r="F22" i="18"/>
  <c r="E22" i="18"/>
  <c r="I11" i="18"/>
  <c r="H11" i="18"/>
  <c r="G11" i="18"/>
  <c r="F11" i="18"/>
  <c r="E11" i="18"/>
  <c r="I65" i="18"/>
  <c r="H65" i="18"/>
  <c r="G65" i="18"/>
  <c r="F65" i="18"/>
  <c r="E65" i="18"/>
  <c r="I54" i="18"/>
  <c r="H54" i="18"/>
  <c r="G54" i="18"/>
  <c r="F54" i="18"/>
  <c r="E54" i="18"/>
  <c r="I43" i="18"/>
  <c r="H43" i="18"/>
  <c r="G43" i="18"/>
  <c r="F43" i="18"/>
  <c r="E43" i="18"/>
  <c r="I32" i="18"/>
  <c r="H32" i="18"/>
  <c r="G32" i="18"/>
  <c r="F32" i="18"/>
  <c r="E32" i="18"/>
  <c r="I21" i="18"/>
  <c r="H21" i="18"/>
  <c r="G21" i="18"/>
  <c r="F21" i="18"/>
  <c r="E21" i="18"/>
  <c r="I10" i="18"/>
  <c r="H10" i="18"/>
  <c r="G10" i="18"/>
  <c r="F10" i="18"/>
  <c r="E10" i="18"/>
  <c r="I64" i="18"/>
  <c r="H64" i="18"/>
  <c r="G64" i="18"/>
  <c r="F64" i="18"/>
  <c r="E64" i="18"/>
  <c r="I53" i="18"/>
  <c r="H53" i="18"/>
  <c r="G53" i="18"/>
  <c r="F53" i="18"/>
  <c r="E53" i="18"/>
  <c r="I42" i="18"/>
  <c r="H42" i="18"/>
  <c r="G42" i="18"/>
  <c r="F42" i="18"/>
  <c r="E42" i="18"/>
  <c r="I31" i="18"/>
  <c r="H31" i="18"/>
  <c r="G31" i="18"/>
  <c r="F31" i="18"/>
  <c r="E31" i="18"/>
  <c r="I20" i="18"/>
  <c r="H20" i="18"/>
  <c r="G20" i="18"/>
  <c r="F20" i="18"/>
  <c r="E20" i="18"/>
  <c r="I9" i="18"/>
  <c r="H9" i="18"/>
  <c r="G9" i="18"/>
  <c r="F9" i="18"/>
  <c r="E9" i="18"/>
  <c r="I67" i="18"/>
  <c r="H67" i="18"/>
  <c r="G67" i="18"/>
  <c r="F67" i="18"/>
  <c r="E67" i="18"/>
  <c r="I56" i="18"/>
  <c r="H56" i="18"/>
  <c r="G56" i="18"/>
  <c r="F56" i="18"/>
  <c r="E56" i="18"/>
  <c r="I45" i="18"/>
  <c r="H45" i="18"/>
  <c r="G45" i="18"/>
  <c r="F45" i="18"/>
  <c r="E45" i="18"/>
  <c r="I34" i="18"/>
  <c r="H34" i="18"/>
  <c r="G34" i="18"/>
  <c r="F34" i="18"/>
  <c r="E34" i="18"/>
  <c r="I23" i="18"/>
  <c r="H23" i="18"/>
  <c r="G23" i="18"/>
  <c r="F23" i="18"/>
  <c r="E23" i="18"/>
  <c r="I12" i="18"/>
  <c r="H12" i="18"/>
  <c r="G12" i="18"/>
  <c r="F12" i="18"/>
  <c r="E12" i="18"/>
  <c r="I68" i="18"/>
  <c r="H68" i="18"/>
  <c r="G68" i="18"/>
  <c r="F68" i="18"/>
  <c r="E68" i="18"/>
  <c r="I57" i="18"/>
  <c r="H57" i="18"/>
  <c r="G57" i="18"/>
  <c r="F57" i="18"/>
  <c r="E57" i="18"/>
  <c r="I46" i="18"/>
  <c r="H46" i="18"/>
  <c r="G46" i="18"/>
  <c r="F46" i="18"/>
  <c r="E46" i="18"/>
  <c r="I35" i="18"/>
  <c r="H35" i="18"/>
  <c r="G35" i="18"/>
  <c r="F35" i="18"/>
  <c r="E35" i="18"/>
  <c r="I24" i="18"/>
  <c r="H24" i="18"/>
  <c r="G24" i="18"/>
  <c r="F24" i="18"/>
  <c r="E24" i="18"/>
  <c r="I13" i="18"/>
  <c r="H13" i="18"/>
  <c r="H79" i="18" s="1"/>
  <c r="G13" i="18"/>
  <c r="F13" i="18"/>
  <c r="F79" i="18" s="1"/>
  <c r="F75" i="18"/>
  <c r="F76" i="18"/>
  <c r="F78" i="18"/>
  <c r="F14" i="18"/>
  <c r="F25" i="18"/>
  <c r="F36" i="18"/>
  <c r="F47" i="18"/>
  <c r="F58" i="18"/>
  <c r="F69" i="18"/>
  <c r="F15" i="18"/>
  <c r="F26" i="18"/>
  <c r="F37" i="18"/>
  <c r="F48" i="18"/>
  <c r="F59" i="18"/>
  <c r="F70" i="18"/>
  <c r="F81" i="18"/>
  <c r="F16" i="18"/>
  <c r="F27" i="18"/>
  <c r="F38" i="18"/>
  <c r="F49" i="18"/>
  <c r="F60" i="18"/>
  <c r="F71" i="18"/>
  <c r="F17" i="18"/>
  <c r="F28" i="18"/>
  <c r="F83" i="18" s="1"/>
  <c r="F39" i="18"/>
  <c r="F50" i="18"/>
  <c r="F61" i="18"/>
  <c r="F72" i="18"/>
  <c r="F18" i="18"/>
  <c r="F29" i="18"/>
  <c r="F40" i="18"/>
  <c r="F51" i="18"/>
  <c r="F62" i="18"/>
  <c r="F73" i="18"/>
  <c r="E13" i="18"/>
  <c r="I69" i="18"/>
  <c r="H69" i="18"/>
  <c r="G69" i="18"/>
  <c r="E69" i="18"/>
  <c r="I58" i="18"/>
  <c r="H58" i="18"/>
  <c r="G58" i="18"/>
  <c r="E58" i="18"/>
  <c r="I47" i="18"/>
  <c r="H47" i="18"/>
  <c r="G47" i="18"/>
  <c r="E47" i="18"/>
  <c r="I36" i="18"/>
  <c r="H36" i="18"/>
  <c r="G36" i="18"/>
  <c r="E36" i="18"/>
  <c r="I25" i="18"/>
  <c r="H25" i="18"/>
  <c r="H26" i="18"/>
  <c r="H27" i="18"/>
  <c r="H28" i="18"/>
  <c r="H29" i="18"/>
  <c r="G25" i="18"/>
  <c r="E25" i="18"/>
  <c r="I14" i="18"/>
  <c r="H14" i="18"/>
  <c r="G14" i="18"/>
  <c r="E14" i="18"/>
  <c r="I70" i="18"/>
  <c r="H70" i="18"/>
  <c r="G70" i="18"/>
  <c r="E70" i="18"/>
  <c r="I59" i="18"/>
  <c r="H59" i="18"/>
  <c r="G59" i="18"/>
  <c r="E59" i="18"/>
  <c r="I48" i="18"/>
  <c r="H48" i="18"/>
  <c r="H49" i="18"/>
  <c r="H50" i="18"/>
  <c r="H51" i="18"/>
  <c r="G48" i="18"/>
  <c r="E48" i="18"/>
  <c r="I37" i="18"/>
  <c r="H37" i="18"/>
  <c r="G37" i="18"/>
  <c r="E37" i="18"/>
  <c r="I26" i="18"/>
  <c r="G26" i="18"/>
  <c r="F30" i="18"/>
  <c r="N14" i="21"/>
  <c r="N15" i="21"/>
  <c r="D21" i="18" s="1"/>
  <c r="N16" i="21"/>
  <c r="N17" i="21"/>
  <c r="D27" i="18" s="1"/>
  <c r="J27" i="18" s="1"/>
  <c r="N18" i="21"/>
  <c r="N19" i="21"/>
  <c r="N20" i="21"/>
  <c r="N21" i="21"/>
  <c r="D29" i="18" s="1"/>
  <c r="N22" i="21"/>
  <c r="N23" i="21"/>
  <c r="N24" i="21"/>
  <c r="N25" i="21"/>
  <c r="N26" i="21"/>
  <c r="N27" i="21"/>
  <c r="N28" i="21"/>
  <c r="N29" i="21"/>
  <c r="N30" i="21"/>
  <c r="N31" i="21"/>
  <c r="N32" i="21"/>
  <c r="N33" i="21"/>
  <c r="N34" i="21"/>
  <c r="N35" i="21"/>
  <c r="N36" i="21"/>
  <c r="N37" i="21"/>
  <c r="N38" i="21"/>
  <c r="D20" i="18"/>
  <c r="D22" i="18"/>
  <c r="D24" i="18"/>
  <c r="D26" i="18"/>
  <c r="D28" i="18"/>
  <c r="E26" i="18"/>
  <c r="E27" i="18"/>
  <c r="E28" i="18"/>
  <c r="E29" i="18"/>
  <c r="G27" i="18"/>
  <c r="G28" i="18"/>
  <c r="G29" i="18"/>
  <c r="I27" i="18"/>
  <c r="I28" i="18"/>
  <c r="I29" i="18"/>
  <c r="I15" i="18"/>
  <c r="H15" i="18"/>
  <c r="G15" i="18"/>
  <c r="E15" i="18"/>
  <c r="I71" i="18"/>
  <c r="H71" i="18"/>
  <c r="H72" i="18"/>
  <c r="H73" i="18"/>
  <c r="G71" i="18"/>
  <c r="E71" i="18"/>
  <c r="I60" i="18"/>
  <c r="H60" i="18"/>
  <c r="G60" i="18"/>
  <c r="E60" i="18"/>
  <c r="I49" i="18"/>
  <c r="G49" i="18"/>
  <c r="E49" i="18"/>
  <c r="I38" i="18"/>
  <c r="H38" i="18"/>
  <c r="G38" i="18"/>
  <c r="E38" i="18"/>
  <c r="I16" i="18"/>
  <c r="H16" i="18"/>
  <c r="G16" i="18"/>
  <c r="E16" i="18"/>
  <c r="I72" i="18"/>
  <c r="G72" i="18"/>
  <c r="E72" i="18"/>
  <c r="I61" i="18"/>
  <c r="H61" i="18"/>
  <c r="G61" i="18"/>
  <c r="E61" i="18"/>
  <c r="I50" i="18"/>
  <c r="G50" i="18"/>
  <c r="G51" i="18"/>
  <c r="E50" i="18"/>
  <c r="I39" i="18"/>
  <c r="H39" i="18"/>
  <c r="G39" i="18"/>
  <c r="E39" i="18"/>
  <c r="I17" i="18"/>
  <c r="H17" i="18"/>
  <c r="G17" i="18"/>
  <c r="E17" i="18"/>
  <c r="I73" i="18"/>
  <c r="I74" i="18" s="1"/>
  <c r="G73" i="18"/>
  <c r="E73" i="18"/>
  <c r="E74" i="18" s="1"/>
  <c r="I62" i="18"/>
  <c r="H62" i="18"/>
  <c r="G62" i="18"/>
  <c r="E62" i="18"/>
  <c r="I51" i="18"/>
  <c r="E51" i="18"/>
  <c r="I40" i="18"/>
  <c r="I41" i="18" s="1"/>
  <c r="H40" i="18"/>
  <c r="G40" i="18"/>
  <c r="G41" i="18" s="1"/>
  <c r="D31" i="18"/>
  <c r="D32" i="18"/>
  <c r="D33" i="18"/>
  <c r="D34" i="18"/>
  <c r="D35" i="18"/>
  <c r="D36" i="18"/>
  <c r="D37" i="18"/>
  <c r="D38" i="18"/>
  <c r="D39" i="18"/>
  <c r="D40" i="18"/>
  <c r="D41" i="18"/>
  <c r="E40" i="18"/>
  <c r="F41" i="18"/>
  <c r="H41" i="18"/>
  <c r="I18" i="18"/>
  <c r="I84" i="18" s="1"/>
  <c r="H18" i="18"/>
  <c r="G18" i="18"/>
  <c r="G84" i="18"/>
  <c r="E18" i="18"/>
  <c r="E84" i="18"/>
  <c r="N189" i="20"/>
  <c r="N190" i="20"/>
  <c r="N191" i="20"/>
  <c r="N192" i="20"/>
  <c r="N193" i="20"/>
  <c r="N194" i="20"/>
  <c r="N195" i="20"/>
  <c r="N196" i="20"/>
  <c r="N197" i="20"/>
  <c r="N198" i="20"/>
  <c r="N199" i="20"/>
  <c r="N200" i="20"/>
  <c r="N201" i="20"/>
  <c r="N202" i="20"/>
  <c r="N203" i="20"/>
  <c r="N204" i="20"/>
  <c r="N205" i="20"/>
  <c r="N206" i="20"/>
  <c r="N207" i="20"/>
  <c r="N208" i="20"/>
  <c r="N209" i="20"/>
  <c r="N210" i="20"/>
  <c r="N211" i="20"/>
  <c r="N212" i="20"/>
  <c r="N213" i="20"/>
  <c r="I13" i="17"/>
  <c r="N154" i="20"/>
  <c r="N155" i="20"/>
  <c r="N156" i="20"/>
  <c r="N157" i="20"/>
  <c r="N158" i="20"/>
  <c r="N159" i="20"/>
  <c r="N160" i="20"/>
  <c r="N161" i="20"/>
  <c r="N162" i="20"/>
  <c r="N163" i="20"/>
  <c r="N164" i="20"/>
  <c r="N165" i="20"/>
  <c r="N166" i="20"/>
  <c r="N167" i="20"/>
  <c r="N168" i="20"/>
  <c r="N169" i="20"/>
  <c r="N170" i="20"/>
  <c r="N171" i="20"/>
  <c r="N172" i="20"/>
  <c r="N173" i="20"/>
  <c r="N174" i="20"/>
  <c r="N175" i="20"/>
  <c r="N176" i="20"/>
  <c r="N177" i="20"/>
  <c r="N178" i="20"/>
  <c r="H13" i="17"/>
  <c r="N119" i="20"/>
  <c r="N120" i="20"/>
  <c r="N121" i="20"/>
  <c r="N122" i="20"/>
  <c r="N123" i="20"/>
  <c r="N124" i="20"/>
  <c r="N125" i="20"/>
  <c r="N126" i="20"/>
  <c r="N127" i="20"/>
  <c r="N128" i="20"/>
  <c r="N129" i="20"/>
  <c r="N130" i="20"/>
  <c r="N131" i="20"/>
  <c r="N132" i="20"/>
  <c r="N133" i="20"/>
  <c r="N134" i="20"/>
  <c r="N135" i="20"/>
  <c r="N136" i="20"/>
  <c r="N137" i="20"/>
  <c r="N138" i="20"/>
  <c r="N139" i="20"/>
  <c r="N140" i="20"/>
  <c r="N141" i="20"/>
  <c r="N142" i="20"/>
  <c r="N143" i="20"/>
  <c r="G13" i="17"/>
  <c r="N84" i="20"/>
  <c r="N85" i="20"/>
  <c r="N86" i="20"/>
  <c r="N87" i="20"/>
  <c r="N88" i="20"/>
  <c r="N89" i="20"/>
  <c r="N90" i="20"/>
  <c r="N91" i="20"/>
  <c r="N92" i="20"/>
  <c r="N93" i="20"/>
  <c r="N94" i="20"/>
  <c r="N95" i="20"/>
  <c r="N96" i="20"/>
  <c r="N97" i="20"/>
  <c r="N98" i="20"/>
  <c r="N99" i="20"/>
  <c r="N100" i="20"/>
  <c r="N101" i="20"/>
  <c r="N102" i="20"/>
  <c r="N103" i="20"/>
  <c r="N104" i="20"/>
  <c r="N105" i="20"/>
  <c r="N106" i="20"/>
  <c r="N107" i="20"/>
  <c r="N108" i="20"/>
  <c r="F13" i="17"/>
  <c r="N49" i="20"/>
  <c r="N50" i="20"/>
  <c r="E24" i="17" s="1"/>
  <c r="N51" i="20"/>
  <c r="N52" i="20"/>
  <c r="N53" i="20"/>
  <c r="N54" i="20"/>
  <c r="N55" i="20"/>
  <c r="N56" i="20"/>
  <c r="N57" i="20"/>
  <c r="N58" i="20"/>
  <c r="N59" i="20"/>
  <c r="N60" i="20"/>
  <c r="N61" i="20"/>
  <c r="N62" i="20"/>
  <c r="N63" i="20"/>
  <c r="N64" i="20"/>
  <c r="N65" i="20"/>
  <c r="N66" i="20"/>
  <c r="N67" i="20"/>
  <c r="N68" i="20"/>
  <c r="N69" i="20"/>
  <c r="N70" i="20"/>
  <c r="N71" i="20"/>
  <c r="N72" i="20"/>
  <c r="N73" i="20"/>
  <c r="E13" i="17"/>
  <c r="I24" i="17"/>
  <c r="H24" i="17"/>
  <c r="G24" i="17"/>
  <c r="F24" i="17"/>
  <c r="I35" i="17"/>
  <c r="H35" i="17"/>
  <c r="G35" i="17"/>
  <c r="F35" i="17"/>
  <c r="E35" i="17"/>
  <c r="I46" i="17"/>
  <c r="H46" i="17"/>
  <c r="G46" i="17"/>
  <c r="F46" i="17"/>
  <c r="E46" i="17"/>
  <c r="I57" i="17"/>
  <c r="H57" i="17"/>
  <c r="G57" i="17"/>
  <c r="F57" i="17"/>
  <c r="E57" i="17"/>
  <c r="I68" i="17"/>
  <c r="H68" i="17"/>
  <c r="G68" i="17"/>
  <c r="F68" i="17"/>
  <c r="E68" i="17"/>
  <c r="I72" i="17"/>
  <c r="H72" i="17"/>
  <c r="G72" i="17"/>
  <c r="F72" i="17"/>
  <c r="E72" i="17"/>
  <c r="I17" i="17"/>
  <c r="H17" i="17"/>
  <c r="G17" i="17"/>
  <c r="F17" i="17"/>
  <c r="E17" i="17"/>
  <c r="I28" i="17"/>
  <c r="H28" i="17"/>
  <c r="G28" i="17"/>
  <c r="F28" i="17"/>
  <c r="E28" i="17"/>
  <c r="I39" i="17"/>
  <c r="H39" i="17"/>
  <c r="G39" i="17"/>
  <c r="F39" i="17"/>
  <c r="E39" i="17"/>
  <c r="I50" i="17"/>
  <c r="H50" i="17"/>
  <c r="G50" i="17"/>
  <c r="F50" i="17"/>
  <c r="E50" i="17"/>
  <c r="I61" i="17"/>
  <c r="H61" i="17"/>
  <c r="G61" i="17"/>
  <c r="F61" i="17"/>
  <c r="E61" i="17"/>
  <c r="I73" i="17"/>
  <c r="H73" i="17"/>
  <c r="G73" i="17"/>
  <c r="F73" i="17"/>
  <c r="E73" i="17"/>
  <c r="I62" i="17"/>
  <c r="H62" i="17"/>
  <c r="G62" i="17"/>
  <c r="F62" i="17"/>
  <c r="E62" i="17"/>
  <c r="I51" i="17"/>
  <c r="H51" i="17"/>
  <c r="G51" i="17"/>
  <c r="F51" i="17"/>
  <c r="E51" i="17"/>
  <c r="I40" i="17"/>
  <c r="H40" i="17"/>
  <c r="G40" i="17"/>
  <c r="F40" i="17"/>
  <c r="E40" i="17"/>
  <c r="I29" i="17"/>
  <c r="H29" i="17"/>
  <c r="G29" i="17"/>
  <c r="F29" i="17"/>
  <c r="E29" i="17"/>
  <c r="I18" i="17"/>
  <c r="H18" i="17"/>
  <c r="G18" i="17"/>
  <c r="F18" i="17"/>
  <c r="E18" i="17"/>
  <c r="I71" i="17"/>
  <c r="H71" i="17"/>
  <c r="G71" i="17"/>
  <c r="F71" i="17"/>
  <c r="E71" i="17"/>
  <c r="I60" i="17"/>
  <c r="H60" i="17"/>
  <c r="G60" i="17"/>
  <c r="F60" i="17"/>
  <c r="E60" i="17"/>
  <c r="I49" i="17"/>
  <c r="H49" i="17"/>
  <c r="G49" i="17"/>
  <c r="F49" i="17"/>
  <c r="E49" i="17"/>
  <c r="I38" i="17"/>
  <c r="H38" i="17"/>
  <c r="G38" i="17"/>
  <c r="F38" i="17"/>
  <c r="E38" i="17"/>
  <c r="I27" i="17"/>
  <c r="H27" i="17"/>
  <c r="G27" i="17"/>
  <c r="F27" i="17"/>
  <c r="E27" i="17"/>
  <c r="I16" i="17"/>
  <c r="H16" i="17"/>
  <c r="G16" i="17"/>
  <c r="F16" i="17"/>
  <c r="E16" i="17"/>
  <c r="I70" i="17"/>
  <c r="H70" i="17"/>
  <c r="G70" i="17"/>
  <c r="F70" i="17"/>
  <c r="E70" i="17"/>
  <c r="I59" i="17"/>
  <c r="H59" i="17"/>
  <c r="G59" i="17"/>
  <c r="F59" i="17"/>
  <c r="E59" i="17"/>
  <c r="I48" i="17"/>
  <c r="H48" i="17"/>
  <c r="G48" i="17"/>
  <c r="F48" i="17"/>
  <c r="E48" i="17"/>
  <c r="I37" i="17"/>
  <c r="H37" i="17"/>
  <c r="G37" i="17"/>
  <c r="F37" i="17"/>
  <c r="E37" i="17"/>
  <c r="I26" i="17"/>
  <c r="H26" i="17"/>
  <c r="G26" i="17"/>
  <c r="F26" i="17"/>
  <c r="E26" i="17"/>
  <c r="I15" i="17"/>
  <c r="H15" i="17"/>
  <c r="G15" i="17"/>
  <c r="F15" i="17"/>
  <c r="E15" i="17"/>
  <c r="I69" i="17"/>
  <c r="H69" i="17"/>
  <c r="G69" i="17"/>
  <c r="F69" i="17"/>
  <c r="E69" i="17"/>
  <c r="I58" i="17"/>
  <c r="H58" i="17"/>
  <c r="G58" i="17"/>
  <c r="F58" i="17"/>
  <c r="E58" i="17"/>
  <c r="I47" i="17"/>
  <c r="H47" i="17"/>
  <c r="G47" i="17"/>
  <c r="F47" i="17"/>
  <c r="E47" i="17"/>
  <c r="I36" i="17"/>
  <c r="H36" i="17"/>
  <c r="G36" i="17"/>
  <c r="F36" i="17"/>
  <c r="E36" i="17"/>
  <c r="I25" i="17"/>
  <c r="H25" i="17"/>
  <c r="G25" i="17"/>
  <c r="F25" i="17"/>
  <c r="E25" i="17"/>
  <c r="I14" i="17"/>
  <c r="H14" i="17"/>
  <c r="G14" i="17"/>
  <c r="F14" i="17"/>
  <c r="E14" i="17"/>
  <c r="I65" i="17"/>
  <c r="H65" i="17"/>
  <c r="G65" i="17"/>
  <c r="F65" i="17"/>
  <c r="E65" i="17"/>
  <c r="I54" i="17"/>
  <c r="H54" i="17"/>
  <c r="G54" i="17"/>
  <c r="F54" i="17"/>
  <c r="E54" i="17"/>
  <c r="I43" i="17"/>
  <c r="H43" i="17"/>
  <c r="G43" i="17"/>
  <c r="F43" i="17"/>
  <c r="E43" i="17"/>
  <c r="I32" i="17"/>
  <c r="H32" i="17"/>
  <c r="G32" i="17"/>
  <c r="F32" i="17"/>
  <c r="E32" i="17"/>
  <c r="I21" i="17"/>
  <c r="H21" i="17"/>
  <c r="G21" i="17"/>
  <c r="F21" i="17"/>
  <c r="E21" i="17"/>
  <c r="I10" i="17"/>
  <c r="H10" i="17"/>
  <c r="G10" i="17"/>
  <c r="F10" i="17"/>
  <c r="E10" i="17"/>
  <c r="I67" i="17"/>
  <c r="H67" i="17"/>
  <c r="G67" i="17"/>
  <c r="F67" i="17"/>
  <c r="E67" i="17"/>
  <c r="I56" i="17"/>
  <c r="H56" i="17"/>
  <c r="G56" i="17"/>
  <c r="F56" i="17"/>
  <c r="E56" i="17"/>
  <c r="I45" i="17"/>
  <c r="H45" i="17"/>
  <c r="G45" i="17"/>
  <c r="F45" i="17"/>
  <c r="E45" i="17"/>
  <c r="I34" i="17"/>
  <c r="H34" i="17"/>
  <c r="G34" i="17"/>
  <c r="F34" i="17"/>
  <c r="E34" i="17"/>
  <c r="I23" i="17"/>
  <c r="H23" i="17"/>
  <c r="G23" i="17"/>
  <c r="F23" i="17"/>
  <c r="E23" i="17"/>
  <c r="I12" i="17"/>
  <c r="H12" i="17"/>
  <c r="G12" i="17"/>
  <c r="F12" i="17"/>
  <c r="E12" i="17"/>
  <c r="I66" i="17"/>
  <c r="H66" i="17"/>
  <c r="G66" i="17"/>
  <c r="F66" i="17"/>
  <c r="E66" i="17"/>
  <c r="I55" i="17"/>
  <c r="H55" i="17"/>
  <c r="G55" i="17"/>
  <c r="F55" i="17"/>
  <c r="E55" i="17"/>
  <c r="I44" i="17"/>
  <c r="H44" i="17"/>
  <c r="G44" i="17"/>
  <c r="F44" i="17"/>
  <c r="E44" i="17"/>
  <c r="I33" i="17"/>
  <c r="H33" i="17"/>
  <c r="G33" i="17"/>
  <c r="F33" i="17"/>
  <c r="E33" i="17"/>
  <c r="I22" i="17"/>
  <c r="H22" i="17"/>
  <c r="G22" i="17"/>
  <c r="F22" i="17"/>
  <c r="E22" i="17"/>
  <c r="I11" i="17"/>
  <c r="H11" i="17"/>
  <c r="G11" i="17"/>
  <c r="F11" i="17"/>
  <c r="E11" i="17"/>
  <c r="I64" i="17"/>
  <c r="H64" i="17"/>
  <c r="G64" i="17"/>
  <c r="F64" i="17"/>
  <c r="E64" i="17"/>
  <c r="I53" i="17"/>
  <c r="H53" i="17"/>
  <c r="G53" i="17"/>
  <c r="F53" i="17"/>
  <c r="E53" i="17"/>
  <c r="I42" i="17"/>
  <c r="H42" i="17"/>
  <c r="G42" i="17"/>
  <c r="F42" i="17"/>
  <c r="E42" i="17"/>
  <c r="I31" i="17"/>
  <c r="H31" i="17"/>
  <c r="G31" i="17"/>
  <c r="F31" i="17"/>
  <c r="E31" i="17"/>
  <c r="I20" i="17"/>
  <c r="H20" i="17"/>
  <c r="G20" i="17"/>
  <c r="F20" i="17"/>
  <c r="E20" i="17"/>
  <c r="I9" i="17"/>
  <c r="H9" i="17"/>
  <c r="G9" i="17"/>
  <c r="F9" i="17"/>
  <c r="E9" i="17"/>
  <c r="G74" i="18"/>
  <c r="I63" i="18"/>
  <c r="H63" i="18"/>
  <c r="G63" i="18"/>
  <c r="F63" i="18"/>
  <c r="I52" i="18"/>
  <c r="E52" i="18"/>
  <c r="H84" i="18"/>
  <c r="I83" i="18"/>
  <c r="H83" i="18"/>
  <c r="G83" i="18"/>
  <c r="E83" i="18"/>
  <c r="I82" i="18"/>
  <c r="H82" i="18"/>
  <c r="G82" i="18"/>
  <c r="E82" i="18"/>
  <c r="I81" i="18"/>
  <c r="H81" i="18"/>
  <c r="G81" i="18"/>
  <c r="E81" i="18"/>
  <c r="I80" i="18"/>
  <c r="H80" i="18"/>
  <c r="G80" i="18"/>
  <c r="E80" i="18"/>
  <c r="I79" i="18"/>
  <c r="G79" i="18"/>
  <c r="E79" i="18"/>
  <c r="I78" i="18"/>
  <c r="H78" i="18"/>
  <c r="G78" i="18"/>
  <c r="E78" i="18"/>
  <c r="I77" i="18"/>
  <c r="H77" i="18"/>
  <c r="G77" i="18"/>
  <c r="I76" i="18"/>
  <c r="H76" i="18"/>
  <c r="G76" i="18"/>
  <c r="E76" i="18"/>
  <c r="I75" i="18"/>
  <c r="H75" i="18"/>
  <c r="G75" i="18"/>
  <c r="E75" i="18"/>
  <c r="I74" i="17"/>
  <c r="H74" i="17"/>
  <c r="G74" i="17"/>
  <c r="F74" i="17"/>
  <c r="E74" i="17"/>
  <c r="I63" i="17"/>
  <c r="H63" i="17"/>
  <c r="G63" i="17"/>
  <c r="F63" i="17"/>
  <c r="E63" i="17"/>
  <c r="I52" i="17"/>
  <c r="H52" i="17"/>
  <c r="G52" i="17"/>
  <c r="F52" i="17"/>
  <c r="E52" i="17"/>
  <c r="I41" i="17"/>
  <c r="H41" i="17"/>
  <c r="G41" i="17"/>
  <c r="F41" i="17"/>
  <c r="E41" i="17"/>
  <c r="I30" i="17"/>
  <c r="H30" i="17"/>
  <c r="G30" i="17"/>
  <c r="F30" i="17"/>
  <c r="I84" i="17"/>
  <c r="H84" i="17"/>
  <c r="G84" i="17"/>
  <c r="F84" i="17"/>
  <c r="E84" i="17"/>
  <c r="I83" i="17"/>
  <c r="H83" i="17"/>
  <c r="G83" i="17"/>
  <c r="F83" i="17"/>
  <c r="E83" i="17"/>
  <c r="I82" i="17"/>
  <c r="H82" i="17"/>
  <c r="G82" i="17"/>
  <c r="F82" i="17"/>
  <c r="E82" i="17"/>
  <c r="I81" i="17"/>
  <c r="H81" i="17"/>
  <c r="G81" i="17"/>
  <c r="F81" i="17"/>
  <c r="E81" i="17"/>
  <c r="I80" i="17"/>
  <c r="H80" i="17"/>
  <c r="G80" i="17"/>
  <c r="F80" i="17"/>
  <c r="E80" i="17"/>
  <c r="I79" i="17"/>
  <c r="H79" i="17"/>
  <c r="G79" i="17"/>
  <c r="F79" i="17"/>
  <c r="I78" i="17"/>
  <c r="H78" i="17"/>
  <c r="G78" i="17"/>
  <c r="F78" i="17"/>
  <c r="E78" i="17"/>
  <c r="I77" i="17"/>
  <c r="H77" i="17"/>
  <c r="G77" i="17"/>
  <c r="F77" i="17"/>
  <c r="E77" i="17"/>
  <c r="I76" i="17"/>
  <c r="H76" i="17"/>
  <c r="G76" i="17"/>
  <c r="F76" i="17"/>
  <c r="E76" i="17"/>
  <c r="I75" i="17"/>
  <c r="I85" i="17" s="1"/>
  <c r="H75" i="17"/>
  <c r="H85" i="17" s="1"/>
  <c r="G75" i="17"/>
  <c r="G85" i="17" s="1"/>
  <c r="F75" i="17"/>
  <c r="F85" i="17" s="1"/>
  <c r="E75" i="17"/>
  <c r="G214" i="21"/>
  <c r="M213" i="21"/>
  <c r="M212" i="21"/>
  <c r="M211" i="21"/>
  <c r="M210" i="21"/>
  <c r="M209" i="21"/>
  <c r="M208" i="21"/>
  <c r="M207" i="21"/>
  <c r="M206" i="21"/>
  <c r="M205" i="21"/>
  <c r="M204" i="21"/>
  <c r="M203" i="21"/>
  <c r="M202" i="21"/>
  <c r="M201" i="21"/>
  <c r="M200" i="21"/>
  <c r="M199" i="21"/>
  <c r="M198" i="21"/>
  <c r="M197" i="21"/>
  <c r="M196" i="21"/>
  <c r="M195" i="21"/>
  <c r="M194" i="21"/>
  <c r="M193" i="21"/>
  <c r="M192" i="21"/>
  <c r="M191" i="21"/>
  <c r="M190" i="21"/>
  <c r="M189" i="21"/>
  <c r="G179" i="21"/>
  <c r="M178" i="21"/>
  <c r="M177" i="21"/>
  <c r="M176" i="21"/>
  <c r="M175" i="21"/>
  <c r="M174" i="21"/>
  <c r="M173" i="21"/>
  <c r="M172" i="21"/>
  <c r="M171" i="21"/>
  <c r="M170" i="21"/>
  <c r="M169" i="21"/>
  <c r="M168" i="21"/>
  <c r="M167" i="21"/>
  <c r="M166" i="21"/>
  <c r="M165" i="21"/>
  <c r="M164" i="21"/>
  <c r="M163" i="21"/>
  <c r="M162" i="21"/>
  <c r="M161" i="21"/>
  <c r="M160" i="21"/>
  <c r="M159" i="21"/>
  <c r="M158" i="21"/>
  <c r="M157" i="21"/>
  <c r="M156" i="21"/>
  <c r="M155" i="21"/>
  <c r="M154" i="21"/>
  <c r="M179" i="21"/>
  <c r="D102" i="42" s="1"/>
  <c r="E102" i="42" s="1"/>
  <c r="G144" i="21"/>
  <c r="M143" i="21"/>
  <c r="M142" i="21"/>
  <c r="M141" i="21"/>
  <c r="M140" i="21"/>
  <c r="M139" i="21"/>
  <c r="M138" i="21"/>
  <c r="M137" i="21"/>
  <c r="M136" i="21"/>
  <c r="M135" i="21"/>
  <c r="M134" i="21"/>
  <c r="M133" i="21"/>
  <c r="M132" i="21"/>
  <c r="M131" i="21"/>
  <c r="M130" i="21"/>
  <c r="M129" i="21"/>
  <c r="M128" i="21"/>
  <c r="M127" i="21"/>
  <c r="M126" i="21"/>
  <c r="M125" i="21"/>
  <c r="M124" i="21"/>
  <c r="M123" i="21"/>
  <c r="M122" i="21"/>
  <c r="M121" i="21"/>
  <c r="M120" i="21"/>
  <c r="M119" i="21"/>
  <c r="G109" i="21"/>
  <c r="M108" i="21"/>
  <c r="M107" i="21"/>
  <c r="M106" i="21"/>
  <c r="M105" i="21"/>
  <c r="M104" i="21"/>
  <c r="M103" i="21"/>
  <c r="M102" i="21"/>
  <c r="M101" i="21"/>
  <c r="M100" i="21"/>
  <c r="M99" i="21"/>
  <c r="M98" i="21"/>
  <c r="M97" i="21"/>
  <c r="M96" i="21"/>
  <c r="M95" i="21"/>
  <c r="M94" i="21"/>
  <c r="M93" i="21"/>
  <c r="M92" i="21"/>
  <c r="M91" i="21"/>
  <c r="M90" i="21"/>
  <c r="M89" i="21"/>
  <c r="M88" i="21"/>
  <c r="M87" i="21"/>
  <c r="M86" i="21"/>
  <c r="M85" i="21"/>
  <c r="M84" i="21"/>
  <c r="G74" i="21"/>
  <c r="M73" i="21"/>
  <c r="M72" i="21"/>
  <c r="M71" i="21"/>
  <c r="M70" i="21"/>
  <c r="M69" i="21"/>
  <c r="M68" i="21"/>
  <c r="M67" i="21"/>
  <c r="M66" i="21"/>
  <c r="M65" i="21"/>
  <c r="M64" i="21"/>
  <c r="M63" i="21"/>
  <c r="M62" i="21"/>
  <c r="M61" i="21"/>
  <c r="M60" i="21"/>
  <c r="M59" i="21"/>
  <c r="M58" i="21"/>
  <c r="M57" i="21"/>
  <c r="M56" i="21"/>
  <c r="M55" i="21"/>
  <c r="M54" i="21"/>
  <c r="M53" i="21"/>
  <c r="M52" i="21"/>
  <c r="M51" i="21"/>
  <c r="M50" i="21"/>
  <c r="M49" i="21"/>
  <c r="M74" i="21" s="1"/>
  <c r="D99" i="42" s="1"/>
  <c r="E99" i="42" s="1"/>
  <c r="K39" i="21"/>
  <c r="F39" i="21"/>
  <c r="D46" i="18"/>
  <c r="J46" i="18" s="1"/>
  <c r="G214" i="20"/>
  <c r="M213" i="20"/>
  <c r="M212" i="20"/>
  <c r="M211" i="20"/>
  <c r="M210" i="20"/>
  <c r="M209" i="20"/>
  <c r="M208" i="20"/>
  <c r="M207" i="20"/>
  <c r="M206" i="20"/>
  <c r="M205" i="20"/>
  <c r="M204" i="20"/>
  <c r="M203" i="20"/>
  <c r="M202" i="20"/>
  <c r="M201" i="20"/>
  <c r="M200" i="20"/>
  <c r="M199" i="20"/>
  <c r="M198" i="20"/>
  <c r="M197" i="20"/>
  <c r="M196" i="20"/>
  <c r="M195" i="20"/>
  <c r="M194" i="20"/>
  <c r="M193" i="20"/>
  <c r="M192" i="20"/>
  <c r="M191" i="20"/>
  <c r="M190" i="20"/>
  <c r="M189" i="20"/>
  <c r="G179" i="20"/>
  <c r="M178" i="20"/>
  <c r="M177" i="20"/>
  <c r="M176" i="20"/>
  <c r="M175" i="20"/>
  <c r="M174" i="20"/>
  <c r="M173" i="20"/>
  <c r="M172" i="20"/>
  <c r="M171" i="20"/>
  <c r="M170" i="20"/>
  <c r="M169" i="20"/>
  <c r="M168" i="20"/>
  <c r="M167" i="20"/>
  <c r="M166" i="20"/>
  <c r="M165" i="20"/>
  <c r="M164" i="20"/>
  <c r="M163" i="20"/>
  <c r="M162" i="20"/>
  <c r="M161" i="20"/>
  <c r="M160" i="20"/>
  <c r="M159" i="20"/>
  <c r="M158" i="20"/>
  <c r="M157" i="20"/>
  <c r="M156" i="20"/>
  <c r="M155" i="20"/>
  <c r="M154" i="20"/>
  <c r="M179" i="20"/>
  <c r="D85" i="42" s="1"/>
  <c r="K85" i="42" s="1"/>
  <c r="G144" i="20"/>
  <c r="M143" i="20"/>
  <c r="M142" i="20"/>
  <c r="M141" i="20"/>
  <c r="M140" i="20"/>
  <c r="M139" i="20"/>
  <c r="M138" i="20"/>
  <c r="M137" i="20"/>
  <c r="M136" i="20"/>
  <c r="M135" i="20"/>
  <c r="M134" i="20"/>
  <c r="M133" i="20"/>
  <c r="M132" i="20"/>
  <c r="M131" i="20"/>
  <c r="M130" i="20"/>
  <c r="M129" i="20"/>
  <c r="M128" i="20"/>
  <c r="M127" i="20"/>
  <c r="M126" i="20"/>
  <c r="M125" i="20"/>
  <c r="M124" i="20"/>
  <c r="M123" i="20"/>
  <c r="M122" i="20"/>
  <c r="M121" i="20"/>
  <c r="M120" i="20"/>
  <c r="M119" i="20"/>
  <c r="M144" i="20" s="1"/>
  <c r="D84" i="42" s="1"/>
  <c r="E84" i="42" s="1"/>
  <c r="G109" i="20"/>
  <c r="M108" i="20"/>
  <c r="M107" i="20"/>
  <c r="M106" i="20"/>
  <c r="M105" i="20"/>
  <c r="M104" i="20"/>
  <c r="M103" i="20"/>
  <c r="M102" i="20"/>
  <c r="M101" i="20"/>
  <c r="M100" i="20"/>
  <c r="M99" i="20"/>
  <c r="M98" i="20"/>
  <c r="M97" i="20"/>
  <c r="M96" i="20"/>
  <c r="M95" i="20"/>
  <c r="M94" i="20"/>
  <c r="M93" i="20"/>
  <c r="M92" i="20"/>
  <c r="M91" i="20"/>
  <c r="M90" i="20"/>
  <c r="M89" i="20"/>
  <c r="M88" i="20"/>
  <c r="M87" i="20"/>
  <c r="M86" i="20"/>
  <c r="M85" i="20"/>
  <c r="M84" i="20"/>
  <c r="G74" i="20"/>
  <c r="M73" i="20"/>
  <c r="M72" i="20"/>
  <c r="M71" i="20"/>
  <c r="M70" i="20"/>
  <c r="M69" i="20"/>
  <c r="M68" i="20"/>
  <c r="M67" i="20"/>
  <c r="M66" i="20"/>
  <c r="M65" i="20"/>
  <c r="M64" i="20"/>
  <c r="M63" i="20"/>
  <c r="M62" i="20"/>
  <c r="M61" i="20"/>
  <c r="M60" i="20"/>
  <c r="M59" i="20"/>
  <c r="M58" i="20"/>
  <c r="M57" i="20"/>
  <c r="M56" i="20"/>
  <c r="M55" i="20"/>
  <c r="M54" i="20"/>
  <c r="M53" i="20"/>
  <c r="M52" i="20"/>
  <c r="M51" i="20"/>
  <c r="M50" i="20"/>
  <c r="M49" i="20"/>
  <c r="K39" i="20"/>
  <c r="F39" i="20"/>
  <c r="N38" i="20"/>
  <c r="N37" i="20"/>
  <c r="N36" i="20"/>
  <c r="N35" i="20"/>
  <c r="N34" i="20"/>
  <c r="N33" i="20"/>
  <c r="N32" i="20"/>
  <c r="N31" i="20"/>
  <c r="N30" i="20"/>
  <c r="N29" i="20"/>
  <c r="N28" i="20"/>
  <c r="N27" i="20"/>
  <c r="N26" i="20"/>
  <c r="N25" i="20"/>
  <c r="N24" i="20"/>
  <c r="N23" i="20"/>
  <c r="N22" i="20"/>
  <c r="N21" i="20"/>
  <c r="N20" i="20"/>
  <c r="N19" i="20"/>
  <c r="N18" i="20"/>
  <c r="N17" i="20"/>
  <c r="N16" i="20"/>
  <c r="N15" i="20"/>
  <c r="N14" i="20"/>
  <c r="D42" i="17" s="1"/>
  <c r="J42" i="17" s="1"/>
  <c r="N245" i="16"/>
  <c r="N244" i="16"/>
  <c r="N243" i="16"/>
  <c r="N242" i="16"/>
  <c r="N241" i="16"/>
  <c r="N240" i="16"/>
  <c r="N239" i="16"/>
  <c r="N238" i="16"/>
  <c r="N237" i="16"/>
  <c r="N236" i="16"/>
  <c r="N235" i="16"/>
  <c r="N234" i="16"/>
  <c r="N233" i="16"/>
  <c r="N232" i="16"/>
  <c r="N231" i="16"/>
  <c r="N230" i="16"/>
  <c r="N229" i="16"/>
  <c r="N228" i="16"/>
  <c r="N227" i="16"/>
  <c r="N226" i="16"/>
  <c r="N225" i="16"/>
  <c r="N224" i="16"/>
  <c r="N223" i="16"/>
  <c r="N222" i="16"/>
  <c r="N221" i="16"/>
  <c r="N210" i="16"/>
  <c r="N209" i="16"/>
  <c r="N208" i="16"/>
  <c r="N207" i="16"/>
  <c r="N206" i="16"/>
  <c r="N205" i="16"/>
  <c r="N204" i="16"/>
  <c r="N203" i="16"/>
  <c r="N202" i="16"/>
  <c r="N201" i="16"/>
  <c r="N200" i="16"/>
  <c r="N199" i="16"/>
  <c r="N198" i="16"/>
  <c r="N197" i="16"/>
  <c r="N196" i="16"/>
  <c r="N195" i="16"/>
  <c r="N194" i="16"/>
  <c r="N193" i="16"/>
  <c r="N192" i="16"/>
  <c r="N191" i="16"/>
  <c r="N190" i="16"/>
  <c r="N189" i="16"/>
  <c r="N188" i="16"/>
  <c r="N187" i="16"/>
  <c r="N186" i="16"/>
  <c r="N175" i="16"/>
  <c r="N174" i="16"/>
  <c r="N173" i="16"/>
  <c r="N172" i="16"/>
  <c r="N171" i="16"/>
  <c r="N170" i="16"/>
  <c r="N169" i="16"/>
  <c r="N168" i="16"/>
  <c r="N167" i="16"/>
  <c r="N166" i="16"/>
  <c r="N165" i="16"/>
  <c r="N164" i="16"/>
  <c r="N163" i="16"/>
  <c r="N162" i="16"/>
  <c r="N161" i="16"/>
  <c r="N160" i="16"/>
  <c r="N159" i="16"/>
  <c r="N158" i="16"/>
  <c r="N157" i="16"/>
  <c r="N156" i="16"/>
  <c r="N155" i="16"/>
  <c r="N154" i="16"/>
  <c r="N153" i="16"/>
  <c r="N152" i="16"/>
  <c r="N151" i="16"/>
  <c r="G53" i="15" s="1"/>
  <c r="N140" i="16"/>
  <c r="N139" i="16"/>
  <c r="N138" i="16"/>
  <c r="N137" i="16"/>
  <c r="N136" i="16"/>
  <c r="N135" i="16"/>
  <c r="N134" i="16"/>
  <c r="N133" i="16"/>
  <c r="N132" i="16"/>
  <c r="N131" i="16"/>
  <c r="N130" i="16"/>
  <c r="N129" i="16"/>
  <c r="N128" i="16"/>
  <c r="N127" i="16"/>
  <c r="N126" i="16"/>
  <c r="N125" i="16"/>
  <c r="N124" i="16"/>
  <c r="N123" i="16"/>
  <c r="N122" i="16"/>
  <c r="N121" i="16"/>
  <c r="N120" i="16"/>
  <c r="N119" i="16"/>
  <c r="N118" i="16"/>
  <c r="N117" i="16"/>
  <c r="N116" i="16"/>
  <c r="N105" i="16"/>
  <c r="N104" i="16"/>
  <c r="N103" i="16"/>
  <c r="N102" i="16"/>
  <c r="N101" i="16"/>
  <c r="N100" i="16"/>
  <c r="N99" i="16"/>
  <c r="N98" i="16"/>
  <c r="N97" i="16"/>
  <c r="N96" i="16"/>
  <c r="N95" i="16"/>
  <c r="N94" i="16"/>
  <c r="N93" i="16"/>
  <c r="N92" i="16"/>
  <c r="N91" i="16"/>
  <c r="N90" i="16"/>
  <c r="N89" i="16"/>
  <c r="N88" i="16"/>
  <c r="N87" i="16"/>
  <c r="N86" i="16"/>
  <c r="N85" i="16"/>
  <c r="N84" i="16"/>
  <c r="N83" i="16"/>
  <c r="N82" i="16"/>
  <c r="N81" i="16"/>
  <c r="E53" i="15" s="1"/>
  <c r="N70" i="16"/>
  <c r="N69" i="16"/>
  <c r="N68" i="16"/>
  <c r="N67" i="16"/>
  <c r="N66" i="16"/>
  <c r="N65" i="16"/>
  <c r="N64" i="16"/>
  <c r="N63" i="16"/>
  <c r="N62" i="16"/>
  <c r="N61" i="16"/>
  <c r="N60" i="16"/>
  <c r="N49" i="16"/>
  <c r="N48" i="16"/>
  <c r="N47" i="16"/>
  <c r="N46" i="16"/>
  <c r="N45" i="16"/>
  <c r="N44" i="16"/>
  <c r="N43" i="16"/>
  <c r="N42" i="16"/>
  <c r="N41" i="16"/>
  <c r="N40" i="16"/>
  <c r="N39" i="16"/>
  <c r="N38" i="16"/>
  <c r="N15" i="16"/>
  <c r="I39" i="19"/>
  <c r="H39" i="19"/>
  <c r="G39" i="19"/>
  <c r="F39" i="19"/>
  <c r="E39" i="19"/>
  <c r="D39" i="19"/>
  <c r="I33" i="19"/>
  <c r="H33" i="19"/>
  <c r="G33" i="19"/>
  <c r="F33" i="19"/>
  <c r="E33" i="19"/>
  <c r="D33" i="19"/>
  <c r="I27" i="19"/>
  <c r="H27" i="19"/>
  <c r="G27" i="19"/>
  <c r="F27" i="19"/>
  <c r="E27" i="19"/>
  <c r="D27" i="19"/>
  <c r="I21" i="19"/>
  <c r="H21" i="19"/>
  <c r="G21" i="19"/>
  <c r="F21" i="19"/>
  <c r="E21" i="19"/>
  <c r="D21" i="19"/>
  <c r="I15" i="19"/>
  <c r="H15" i="19"/>
  <c r="G15" i="19"/>
  <c r="F15" i="19"/>
  <c r="E15" i="19"/>
  <c r="D15" i="19"/>
  <c r="I9" i="19"/>
  <c r="H9" i="19"/>
  <c r="G9" i="19"/>
  <c r="F9" i="19"/>
  <c r="F45" i="19" s="1"/>
  <c r="E9" i="19"/>
  <c r="D9" i="19"/>
  <c r="G246" i="16"/>
  <c r="M245" i="16"/>
  <c r="M244" i="16"/>
  <c r="M243" i="16"/>
  <c r="M242" i="16"/>
  <c r="M241" i="16"/>
  <c r="M240" i="16"/>
  <c r="M239" i="16"/>
  <c r="M238" i="16"/>
  <c r="M237" i="16"/>
  <c r="M236" i="16"/>
  <c r="M235" i="16"/>
  <c r="M234" i="16"/>
  <c r="M233" i="16"/>
  <c r="M232" i="16"/>
  <c r="M231" i="16"/>
  <c r="M230" i="16"/>
  <c r="M229" i="16"/>
  <c r="M228" i="16"/>
  <c r="M227" i="16"/>
  <c r="M226" i="16"/>
  <c r="M225" i="16"/>
  <c r="M224" i="16"/>
  <c r="M223" i="16"/>
  <c r="M222" i="16"/>
  <c r="M221" i="16"/>
  <c r="M246" i="16" s="1"/>
  <c r="D72" i="42" s="1"/>
  <c r="G211" i="16"/>
  <c r="M210" i="16"/>
  <c r="M209" i="16"/>
  <c r="M208" i="16"/>
  <c r="M207" i="16"/>
  <c r="M206" i="16"/>
  <c r="M205" i="16"/>
  <c r="M204" i="16"/>
  <c r="M203" i="16"/>
  <c r="M202" i="16"/>
  <c r="M201" i="16"/>
  <c r="M200" i="16"/>
  <c r="M199" i="16"/>
  <c r="M198" i="16"/>
  <c r="M197" i="16"/>
  <c r="M194" i="16"/>
  <c r="M193" i="16"/>
  <c r="M192" i="16"/>
  <c r="M191" i="16"/>
  <c r="M190" i="16"/>
  <c r="M189" i="16"/>
  <c r="M188" i="16"/>
  <c r="M187" i="16"/>
  <c r="M186" i="16"/>
  <c r="G176" i="16"/>
  <c r="M175" i="16"/>
  <c r="M174" i="16"/>
  <c r="M173" i="16"/>
  <c r="M172" i="16"/>
  <c r="M171" i="16"/>
  <c r="M170" i="16"/>
  <c r="M169" i="16"/>
  <c r="M168" i="16"/>
  <c r="M167" i="16"/>
  <c r="M166" i="16"/>
  <c r="M165" i="16"/>
  <c r="M164" i="16"/>
  <c r="M163" i="16"/>
  <c r="M161" i="16"/>
  <c r="M160" i="16"/>
  <c r="M159" i="16"/>
  <c r="M158" i="16"/>
  <c r="M157" i="16"/>
  <c r="M156" i="16"/>
  <c r="M155" i="16"/>
  <c r="M154" i="16"/>
  <c r="M153" i="16"/>
  <c r="M152" i="16"/>
  <c r="M151" i="16"/>
  <c r="G141" i="16"/>
  <c r="M140" i="16"/>
  <c r="M139" i="16"/>
  <c r="M138" i="16"/>
  <c r="M137" i="16"/>
  <c r="M136" i="16"/>
  <c r="M135" i="16"/>
  <c r="M134" i="16"/>
  <c r="M133" i="16"/>
  <c r="M132" i="16"/>
  <c r="M131" i="16"/>
  <c r="M130" i="16"/>
  <c r="M129" i="16"/>
  <c r="M128" i="16"/>
  <c r="M127" i="16"/>
  <c r="M126" i="16"/>
  <c r="M125" i="16"/>
  <c r="M124" i="16"/>
  <c r="M123" i="16"/>
  <c r="M122" i="16"/>
  <c r="M121" i="16"/>
  <c r="M120" i="16"/>
  <c r="M119" i="16"/>
  <c r="M118" i="16"/>
  <c r="M117" i="16"/>
  <c r="M116" i="16"/>
  <c r="G106" i="16"/>
  <c r="M105" i="16"/>
  <c r="M104" i="16"/>
  <c r="M103" i="16"/>
  <c r="M102" i="16"/>
  <c r="M101" i="16"/>
  <c r="M100" i="16"/>
  <c r="M99" i="16"/>
  <c r="M98" i="16"/>
  <c r="M97" i="16"/>
  <c r="M96" i="16"/>
  <c r="M95" i="16"/>
  <c r="M94" i="16"/>
  <c r="M93" i="16"/>
  <c r="M92" i="16"/>
  <c r="M91" i="16"/>
  <c r="M89" i="16"/>
  <c r="M88" i="16"/>
  <c r="M87" i="16"/>
  <c r="M86" i="16"/>
  <c r="M85" i="16"/>
  <c r="M84" i="16"/>
  <c r="M83" i="16"/>
  <c r="M82" i="16"/>
  <c r="M81" i="16"/>
  <c r="M106" i="16" s="1"/>
  <c r="D68" i="42" s="1"/>
  <c r="K71" i="16"/>
  <c r="F71" i="16"/>
  <c r="F246" i="5"/>
  <c r="F211" i="5"/>
  <c r="F176" i="5"/>
  <c r="F141" i="5"/>
  <c r="F106" i="5"/>
  <c r="L245" i="5"/>
  <c r="L244" i="5"/>
  <c r="L243" i="5"/>
  <c r="L242" i="5"/>
  <c r="L241" i="5"/>
  <c r="L240" i="5"/>
  <c r="L239" i="5"/>
  <c r="L238" i="5"/>
  <c r="L237" i="5"/>
  <c r="L236" i="5"/>
  <c r="L235" i="5"/>
  <c r="L234" i="5"/>
  <c r="L233" i="5"/>
  <c r="L232" i="5"/>
  <c r="L231" i="5"/>
  <c r="L230" i="5"/>
  <c r="L229" i="5"/>
  <c r="L228" i="5"/>
  <c r="L227" i="5"/>
  <c r="L226" i="5"/>
  <c r="L225" i="5"/>
  <c r="L224" i="5"/>
  <c r="L223" i="5"/>
  <c r="L221" i="5"/>
  <c r="L210" i="5"/>
  <c r="L209" i="5"/>
  <c r="L208" i="5"/>
  <c r="L207" i="5"/>
  <c r="L206" i="5"/>
  <c r="L205" i="5"/>
  <c r="L204" i="5"/>
  <c r="L203" i="5"/>
  <c r="L202" i="5"/>
  <c r="L201" i="5"/>
  <c r="L200" i="5"/>
  <c r="L199" i="5"/>
  <c r="L198" i="5"/>
  <c r="L197" i="5"/>
  <c r="L196" i="5"/>
  <c r="L195" i="5"/>
  <c r="L194" i="5"/>
  <c r="L193" i="5"/>
  <c r="L192" i="5"/>
  <c r="L191" i="5"/>
  <c r="L190" i="5"/>
  <c r="L189" i="5"/>
  <c r="L188" i="5"/>
  <c r="L187" i="5"/>
  <c r="L186" i="5"/>
  <c r="L175" i="5"/>
  <c r="L174" i="5"/>
  <c r="L173" i="5"/>
  <c r="L172" i="5"/>
  <c r="L171" i="5"/>
  <c r="L170" i="5"/>
  <c r="L169" i="5"/>
  <c r="L168" i="5"/>
  <c r="L167" i="5"/>
  <c r="L166" i="5"/>
  <c r="L165" i="5"/>
  <c r="L164" i="5"/>
  <c r="L163" i="5"/>
  <c r="L162" i="5"/>
  <c r="L161" i="5"/>
  <c r="L160" i="5"/>
  <c r="L159" i="5"/>
  <c r="L158" i="5"/>
  <c r="L157" i="5"/>
  <c r="L156" i="5"/>
  <c r="L155" i="5"/>
  <c r="L154" i="5"/>
  <c r="L153" i="5"/>
  <c r="L152" i="5"/>
  <c r="L140" i="5"/>
  <c r="L139" i="5"/>
  <c r="L138" i="5"/>
  <c r="L137" i="5"/>
  <c r="L136" i="5"/>
  <c r="L135" i="5"/>
  <c r="L134" i="5"/>
  <c r="L133" i="5"/>
  <c r="L132" i="5"/>
  <c r="L131" i="5"/>
  <c r="L130" i="5"/>
  <c r="L129" i="5"/>
  <c r="L128" i="5"/>
  <c r="L127" i="5"/>
  <c r="L126" i="5"/>
  <c r="L125" i="5"/>
  <c r="L124" i="5"/>
  <c r="L123" i="5"/>
  <c r="L122" i="5"/>
  <c r="L121" i="5"/>
  <c r="L120" i="5"/>
  <c r="L119" i="5"/>
  <c r="L118" i="5"/>
  <c r="L117" i="5"/>
  <c r="L116" i="5"/>
  <c r="L141" i="5" s="1"/>
  <c r="D57" i="42" s="1"/>
  <c r="L105" i="5"/>
  <c r="L104" i="5"/>
  <c r="L103" i="5"/>
  <c r="L102" i="5"/>
  <c r="L101" i="5"/>
  <c r="L100" i="5"/>
  <c r="L99" i="5"/>
  <c r="L98" i="5"/>
  <c r="L97" i="5"/>
  <c r="L96" i="5"/>
  <c r="L95" i="5"/>
  <c r="L94" i="5"/>
  <c r="L93" i="5"/>
  <c r="L92" i="5"/>
  <c r="L91" i="5"/>
  <c r="L90" i="5"/>
  <c r="L89" i="5"/>
  <c r="L88" i="5"/>
  <c r="L87" i="5"/>
  <c r="L86" i="5"/>
  <c r="L85" i="5"/>
  <c r="L84" i="5"/>
  <c r="L83" i="5"/>
  <c r="L82" i="5"/>
  <c r="L81" i="5"/>
  <c r="J71" i="5"/>
  <c r="E71" i="5"/>
  <c r="K11" i="5"/>
  <c r="L11" i="5" s="1"/>
  <c r="F19" i="18"/>
  <c r="H19" i="18"/>
  <c r="E19" i="18"/>
  <c r="G19" i="18"/>
  <c r="I19" i="18"/>
  <c r="F19" i="17"/>
  <c r="H19" i="17"/>
  <c r="E19" i="17"/>
  <c r="G19" i="17"/>
  <c r="I19" i="17"/>
  <c r="M214" i="21"/>
  <c r="D103" i="42"/>
  <c r="E103" i="42" s="1"/>
  <c r="M109" i="21"/>
  <c r="D100" i="42" s="1"/>
  <c r="E100" i="42" s="1"/>
  <c r="M144" i="21"/>
  <c r="D101" i="42" s="1"/>
  <c r="K101" i="42" s="1"/>
  <c r="M74" i="20"/>
  <c r="D82" i="42"/>
  <c r="E82" i="42" s="1"/>
  <c r="M109" i="20"/>
  <c r="D83" i="42"/>
  <c r="E83" i="42" s="1"/>
  <c r="M214" i="20"/>
  <c r="D86" i="42" s="1"/>
  <c r="E86" i="42" s="1"/>
  <c r="L211" i="5"/>
  <c r="D59" i="42" s="1"/>
  <c r="E59" i="42" s="1"/>
  <c r="D23" i="17"/>
  <c r="J23" i="17" s="1"/>
  <c r="D58" i="17"/>
  <c r="J58" i="17" s="1"/>
  <c r="D38" i="17"/>
  <c r="J38" i="17" s="1"/>
  <c r="D32" i="15"/>
  <c r="D70" i="15"/>
  <c r="D61" i="15"/>
  <c r="D51" i="15"/>
  <c r="D18" i="18"/>
  <c r="J40" i="18"/>
  <c r="D51" i="18"/>
  <c r="J51" i="18" s="1"/>
  <c r="D62" i="18"/>
  <c r="J62" i="18" s="1"/>
  <c r="D73" i="18"/>
  <c r="J73" i="18" s="1"/>
  <c r="D17" i="18"/>
  <c r="J28" i="18"/>
  <c r="J39" i="18"/>
  <c r="D50" i="18"/>
  <c r="J50" i="18" s="1"/>
  <c r="D61" i="18"/>
  <c r="J61" i="18" s="1"/>
  <c r="D72" i="18"/>
  <c r="J72" i="18" s="1"/>
  <c r="D16" i="18"/>
  <c r="J38" i="18"/>
  <c r="D49" i="18"/>
  <c r="J49" i="18" s="1"/>
  <c r="D60" i="18"/>
  <c r="J60" i="18" s="1"/>
  <c r="D71" i="18"/>
  <c r="J71" i="18" s="1"/>
  <c r="D15" i="18"/>
  <c r="J26" i="18"/>
  <c r="D48" i="18"/>
  <c r="J48" i="18" s="1"/>
  <c r="D59" i="18"/>
  <c r="J59" i="18" s="1"/>
  <c r="D70" i="18"/>
  <c r="J70" i="18" s="1"/>
  <c r="D58" i="18"/>
  <c r="J58" i="18" s="1"/>
  <c r="J24" i="18"/>
  <c r="D57" i="18"/>
  <c r="J57" i="18" s="1"/>
  <c r="D68" i="18"/>
  <c r="J68" i="18" s="1"/>
  <c r="D12" i="18"/>
  <c r="J34" i="18"/>
  <c r="D45" i="18"/>
  <c r="J45" i="18" s="1"/>
  <c r="D56" i="18"/>
  <c r="J56" i="18" s="1"/>
  <c r="D67" i="18"/>
  <c r="J67" i="18" s="1"/>
  <c r="D9" i="18"/>
  <c r="D42" i="18"/>
  <c r="D53" i="18"/>
  <c r="D64" i="18"/>
  <c r="J64" i="18" s="1"/>
  <c r="D10" i="18"/>
  <c r="J32" i="18"/>
  <c r="D43" i="18"/>
  <c r="J43" i="18" s="1"/>
  <c r="D54" i="18"/>
  <c r="J54" i="18" s="1"/>
  <c r="D65" i="18"/>
  <c r="J65" i="18" s="1"/>
  <c r="D11" i="18"/>
  <c r="J11" i="18" s="1"/>
  <c r="J22" i="18"/>
  <c r="D44" i="18"/>
  <c r="D55" i="18"/>
  <c r="D66" i="18"/>
  <c r="J66" i="18"/>
  <c r="J37" i="18"/>
  <c r="D14" i="18"/>
  <c r="J36" i="18"/>
  <c r="D47" i="18"/>
  <c r="J47" i="18"/>
  <c r="D69" i="18"/>
  <c r="J69" i="18"/>
  <c r="D13" i="18"/>
  <c r="J13" i="18"/>
  <c r="J35" i="18"/>
  <c r="K110" i="42"/>
  <c r="D52" i="18"/>
  <c r="J42" i="18"/>
  <c r="J20" i="18"/>
  <c r="J18" i="18"/>
  <c r="D79" i="18"/>
  <c r="J14" i="18"/>
  <c r="D77" i="18"/>
  <c r="J10" i="18"/>
  <c r="J53" i="18"/>
  <c r="D63" i="18"/>
  <c r="J31" i="18"/>
  <c r="J9" i="18"/>
  <c r="D81" i="18"/>
  <c r="J81" i="18" s="1"/>
  <c r="J15" i="18"/>
  <c r="J16" i="18"/>
  <c r="J17" i="18"/>
  <c r="D83" i="18"/>
  <c r="J83" i="18" s="1"/>
  <c r="D26" i="15"/>
  <c r="D20" i="15"/>
  <c r="D29" i="15"/>
  <c r="D71" i="15"/>
  <c r="D48" i="15"/>
  <c r="D25" i="15"/>
  <c r="D9" i="15"/>
  <c r="D65" i="15"/>
  <c r="D40" i="15"/>
  <c r="D28" i="15"/>
  <c r="D72" i="15"/>
  <c r="D38" i="15"/>
  <c r="D59" i="15"/>
  <c r="D15" i="15"/>
  <c r="E15" i="15"/>
  <c r="E26" i="15"/>
  <c r="E37" i="15"/>
  <c r="E48" i="15"/>
  <c r="E59" i="15"/>
  <c r="E70" i="15"/>
  <c r="F37" i="15"/>
  <c r="G15" i="15"/>
  <c r="G26" i="15"/>
  <c r="G37" i="15"/>
  <c r="G48" i="15"/>
  <c r="G59" i="15"/>
  <c r="G70" i="15"/>
  <c r="H59" i="15"/>
  <c r="I15" i="15"/>
  <c r="I26" i="15"/>
  <c r="I37" i="15"/>
  <c r="I48" i="15"/>
  <c r="I59" i="15"/>
  <c r="I70" i="15"/>
  <c r="D36" i="15"/>
  <c r="E54" i="15"/>
  <c r="E58" i="15"/>
  <c r="E60" i="15"/>
  <c r="E61" i="15"/>
  <c r="E62" i="15"/>
  <c r="F54" i="15"/>
  <c r="F62" i="15"/>
  <c r="G54" i="15"/>
  <c r="G58" i="15"/>
  <c r="G60" i="15"/>
  <c r="G61" i="15"/>
  <c r="G62" i="15"/>
  <c r="H53" i="15"/>
  <c r="I54" i="15"/>
  <c r="I58" i="15"/>
  <c r="I60" i="15"/>
  <c r="I61" i="15"/>
  <c r="I62" i="15"/>
  <c r="D43" i="15"/>
  <c r="D64" i="15"/>
  <c r="E21" i="15"/>
  <c r="G21" i="15"/>
  <c r="I21" i="15"/>
  <c r="E43" i="15"/>
  <c r="G43" i="15"/>
  <c r="I43" i="15"/>
  <c r="E65" i="15"/>
  <c r="G65" i="15"/>
  <c r="I65" i="15"/>
  <c r="E14" i="15"/>
  <c r="G14" i="15"/>
  <c r="I14" i="15"/>
  <c r="E36" i="15"/>
  <c r="G36" i="15"/>
  <c r="I36" i="15"/>
  <c r="F69" i="15"/>
  <c r="H69" i="15"/>
  <c r="E16" i="15"/>
  <c r="G16" i="15"/>
  <c r="I16" i="15"/>
  <c r="E38" i="15"/>
  <c r="G38" i="15"/>
  <c r="I38" i="15"/>
  <c r="E72" i="15"/>
  <c r="G72" i="15"/>
  <c r="I72" i="15"/>
  <c r="E50" i="15"/>
  <c r="G50" i="15"/>
  <c r="I50" i="15"/>
  <c r="H39" i="15"/>
  <c r="E28" i="15"/>
  <c r="G28" i="15"/>
  <c r="I28" i="15"/>
  <c r="H17" i="15"/>
  <c r="E18" i="15"/>
  <c r="G18" i="15"/>
  <c r="I18" i="15"/>
  <c r="F29" i="15"/>
  <c r="E40" i="15"/>
  <c r="G40" i="15"/>
  <c r="I40" i="15"/>
  <c r="F51" i="15"/>
  <c r="F9" i="15"/>
  <c r="E20" i="15"/>
  <c r="G20" i="15"/>
  <c r="I20" i="15"/>
  <c r="F31" i="15"/>
  <c r="H31" i="15"/>
  <c r="E42" i="15"/>
  <c r="G42" i="15"/>
  <c r="I42" i="15"/>
  <c r="E64" i="15"/>
  <c r="G64" i="15"/>
  <c r="I64" i="15"/>
  <c r="E10" i="15"/>
  <c r="G10" i="15"/>
  <c r="I10" i="15"/>
  <c r="F21" i="15"/>
  <c r="E32" i="15"/>
  <c r="G32" i="15"/>
  <c r="I32" i="15"/>
  <c r="F65" i="15"/>
  <c r="E25" i="15"/>
  <c r="G25" i="15"/>
  <c r="I25" i="15"/>
  <c r="E47" i="15"/>
  <c r="G47" i="15"/>
  <c r="I47" i="15"/>
  <c r="E69" i="15"/>
  <c r="G69" i="15"/>
  <c r="I69" i="15"/>
  <c r="F16" i="15"/>
  <c r="E27" i="15"/>
  <c r="G27" i="15"/>
  <c r="I27" i="15"/>
  <c r="F38" i="15"/>
  <c r="H38" i="15"/>
  <c r="E49" i="15"/>
  <c r="G49" i="15"/>
  <c r="I49" i="15"/>
  <c r="E71" i="15"/>
  <c r="G71" i="15"/>
  <c r="I71" i="15"/>
  <c r="F72" i="15"/>
  <c r="H72" i="15"/>
  <c r="F50" i="15"/>
  <c r="E39" i="15"/>
  <c r="G39" i="15"/>
  <c r="I39" i="15"/>
  <c r="F28" i="15"/>
  <c r="E17" i="15"/>
  <c r="G17" i="15"/>
  <c r="I17" i="15"/>
  <c r="F18" i="15"/>
  <c r="E29" i="15"/>
  <c r="G29" i="15"/>
  <c r="I29" i="15"/>
  <c r="F40" i="15"/>
  <c r="E51" i="15"/>
  <c r="G51" i="15"/>
  <c r="I51" i="15"/>
  <c r="E73" i="15"/>
  <c r="G73" i="15"/>
  <c r="I73" i="15"/>
  <c r="E9" i="15"/>
  <c r="G9" i="15"/>
  <c r="I9" i="15"/>
  <c r="F20" i="15"/>
  <c r="E31" i="15"/>
  <c r="G31" i="15"/>
  <c r="I31" i="15"/>
  <c r="I76" i="15"/>
  <c r="I80" i="15"/>
  <c r="I83" i="15"/>
  <c r="G85" i="18"/>
  <c r="K23" i="42"/>
  <c r="D19" i="18"/>
  <c r="J19" i="18" s="1"/>
  <c r="D74" i="18"/>
  <c r="H60" i="15"/>
  <c r="H70" i="15"/>
  <c r="H64" i="15"/>
  <c r="H21" i="15"/>
  <c r="F39" i="15"/>
  <c r="F71" i="15"/>
  <c r="F60" i="15"/>
  <c r="F59" i="15"/>
  <c r="F15" i="15"/>
  <c r="F64" i="15"/>
  <c r="F42" i="15"/>
  <c r="F36" i="15"/>
  <c r="F14" i="15"/>
  <c r="F73" i="15"/>
  <c r="F49" i="15"/>
  <c r="F27" i="15"/>
  <c r="F32" i="15"/>
  <c r="F58" i="15"/>
  <c r="F48" i="15"/>
  <c r="F43" i="15"/>
  <c r="F10" i="15"/>
  <c r="F17" i="15"/>
  <c r="F47" i="15"/>
  <c r="F25" i="15"/>
  <c r="F61" i="15"/>
  <c r="F53" i="15"/>
  <c r="F70" i="15"/>
  <c r="D24" i="15"/>
  <c r="D44" i="15"/>
  <c r="D55" i="15"/>
  <c r="D23" i="15"/>
  <c r="D66" i="15"/>
  <c r="D46" i="15"/>
  <c r="D57" i="15"/>
  <c r="D33" i="15"/>
  <c r="D65" i="17"/>
  <c r="J65" i="17" s="1"/>
  <c r="D55" i="17"/>
  <c r="J55" i="17" s="1"/>
  <c r="D57" i="17"/>
  <c r="J57" i="17" s="1"/>
  <c r="D48" i="17"/>
  <c r="J48" i="17" s="1"/>
  <c r="D32" i="17"/>
  <c r="J32" i="17" s="1"/>
  <c r="D64" i="17"/>
  <c r="D70" i="17"/>
  <c r="J70" i="17"/>
  <c r="D17" i="17"/>
  <c r="J17" i="17" s="1"/>
  <c r="D26" i="17"/>
  <c r="J26" i="17" s="1"/>
  <c r="D67" i="17"/>
  <c r="J67" i="17" s="1"/>
  <c r="D31" i="17"/>
  <c r="J31" i="17" s="1"/>
  <c r="D35" i="17"/>
  <c r="J35" i="17" s="1"/>
  <c r="D50" i="17"/>
  <c r="J50" i="17" s="1"/>
  <c r="D51" i="17"/>
  <c r="J51" i="17" s="1"/>
  <c r="D60" i="17"/>
  <c r="J60" i="17" s="1"/>
  <c r="D15" i="17"/>
  <c r="J15" i="17" s="1"/>
  <c r="D54" i="17"/>
  <c r="J54" i="17" s="1"/>
  <c r="D45" i="17"/>
  <c r="J45" i="17" s="1"/>
  <c r="D53" i="17"/>
  <c r="J53" i="17" s="1"/>
  <c r="D46" i="17"/>
  <c r="J46" i="17" s="1"/>
  <c r="D28" i="17"/>
  <c r="D18" i="17"/>
  <c r="J18" i="17"/>
  <c r="D49" i="17"/>
  <c r="J49" i="17"/>
  <c r="D16" i="17"/>
  <c r="D59" i="17"/>
  <c r="J59" i="17" s="1"/>
  <c r="D37" i="17"/>
  <c r="J37" i="17" s="1"/>
  <c r="D47" i="17"/>
  <c r="J47" i="17" s="1"/>
  <c r="D14" i="17"/>
  <c r="J14" i="17" s="1"/>
  <c r="D43" i="17"/>
  <c r="J43" i="17" s="1"/>
  <c r="D10" i="17"/>
  <c r="D56" i="17"/>
  <c r="J56" i="17" s="1"/>
  <c r="D34" i="17"/>
  <c r="J34" i="17" s="1"/>
  <c r="D44" i="17"/>
  <c r="J44" i="17" s="1"/>
  <c r="D11" i="17"/>
  <c r="J11" i="17" s="1"/>
  <c r="D9" i="17"/>
  <c r="D68" i="17"/>
  <c r="J68" i="17" s="1"/>
  <c r="D73" i="17"/>
  <c r="J73" i="17" s="1"/>
  <c r="D29" i="17"/>
  <c r="D27" i="17"/>
  <c r="J27" i="17" s="1"/>
  <c r="D25" i="17"/>
  <c r="J25" i="17" s="1"/>
  <c r="D21" i="17"/>
  <c r="J21" i="17" s="1"/>
  <c r="D12" i="17"/>
  <c r="J12" i="17" s="1"/>
  <c r="D22" i="17"/>
  <c r="J22" i="17" s="1"/>
  <c r="D20" i="17"/>
  <c r="J20" i="17"/>
  <c r="D13" i="17"/>
  <c r="D24" i="17"/>
  <c r="J24" i="17" s="1"/>
  <c r="D72" i="17"/>
  <c r="J72" i="17" s="1"/>
  <c r="D39" i="17"/>
  <c r="J39" i="17" s="1"/>
  <c r="D61" i="17"/>
  <c r="J61" i="17" s="1"/>
  <c r="D62" i="17"/>
  <c r="J62" i="17" s="1"/>
  <c r="D40" i="17"/>
  <c r="J40" i="17" s="1"/>
  <c r="D71" i="17"/>
  <c r="J71" i="17" s="1"/>
  <c r="D69" i="17"/>
  <c r="J69" i="17" s="1"/>
  <c r="D36" i="17"/>
  <c r="J36" i="17" s="1"/>
  <c r="D66" i="17"/>
  <c r="J66" i="17" s="1"/>
  <c r="D33" i="17"/>
  <c r="J33" i="17" s="1"/>
  <c r="J64" i="17"/>
  <c r="M211" i="16"/>
  <c r="D71" i="42" s="1"/>
  <c r="H40" i="15"/>
  <c r="H65" i="15"/>
  <c r="J65" i="15" s="1"/>
  <c r="H73" i="15"/>
  <c r="H25" i="15"/>
  <c r="J25" i="15" s="1"/>
  <c r="H26" i="15"/>
  <c r="H20" i="15"/>
  <c r="J20" i="15" s="1"/>
  <c r="H18" i="15"/>
  <c r="H27" i="15"/>
  <c r="H61" i="15"/>
  <c r="H15" i="15"/>
  <c r="J15" i="15" s="1"/>
  <c r="H67" i="15"/>
  <c r="H55" i="15"/>
  <c r="H35" i="15"/>
  <c r="H23" i="15"/>
  <c r="H22" i="15"/>
  <c r="H12" i="15"/>
  <c r="H24" i="15"/>
  <c r="H11" i="15"/>
  <c r="H46" i="15"/>
  <c r="H68" i="15"/>
  <c r="H56" i="15"/>
  <c r="H44" i="15"/>
  <c r="H57" i="15"/>
  <c r="H45" i="15"/>
  <c r="H33" i="15"/>
  <c r="H13" i="15"/>
  <c r="H66" i="15"/>
  <c r="H34" i="15"/>
  <c r="H28" i="15"/>
  <c r="H16" i="15"/>
  <c r="H36" i="15"/>
  <c r="H9" i="15"/>
  <c r="J9" i="15" s="1"/>
  <c r="H51" i="15"/>
  <c r="H58" i="15"/>
  <c r="H48" i="15"/>
  <c r="H42" i="15"/>
  <c r="H50" i="15"/>
  <c r="H14" i="15"/>
  <c r="H43" i="15"/>
  <c r="J43" i="15" s="1"/>
  <c r="H10" i="15"/>
  <c r="H29" i="15"/>
  <c r="J29" i="15" s="1"/>
  <c r="H49" i="15"/>
  <c r="H47" i="15"/>
  <c r="H32" i="15"/>
  <c r="H62" i="15"/>
  <c r="H54" i="15"/>
  <c r="H37" i="15"/>
  <c r="G80" i="15"/>
  <c r="G84" i="15"/>
  <c r="G76" i="15"/>
  <c r="G83" i="15"/>
  <c r="G81" i="15"/>
  <c r="G11" i="15"/>
  <c r="G56" i="15"/>
  <c r="G46" i="15"/>
  <c r="G44" i="15"/>
  <c r="G34" i="15"/>
  <c r="G23" i="15"/>
  <c r="G24" i="15"/>
  <c r="G12" i="15"/>
  <c r="G68" i="15"/>
  <c r="G67" i="15"/>
  <c r="G66" i="15"/>
  <c r="G57" i="15"/>
  <c r="G55" i="15"/>
  <c r="G45" i="15"/>
  <c r="G35" i="15"/>
  <c r="G33" i="15"/>
  <c r="G13" i="15"/>
  <c r="G22" i="15"/>
  <c r="G30" i="15" s="1"/>
  <c r="F84" i="15"/>
  <c r="F67" i="15"/>
  <c r="F66" i="15"/>
  <c r="F46" i="15"/>
  <c r="F34" i="15"/>
  <c r="F57" i="15"/>
  <c r="F45" i="15"/>
  <c r="F33" i="15"/>
  <c r="F22" i="15"/>
  <c r="F13" i="15"/>
  <c r="F12" i="15"/>
  <c r="F11" i="15"/>
  <c r="F68" i="15"/>
  <c r="F56" i="15"/>
  <c r="F44" i="15"/>
  <c r="F55" i="15"/>
  <c r="F63" i="15" s="1"/>
  <c r="F35" i="15"/>
  <c r="F24" i="15"/>
  <c r="F23" i="15"/>
  <c r="E83" i="15"/>
  <c r="E84" i="15"/>
  <c r="E82" i="15"/>
  <c r="E81" i="15"/>
  <c r="J61" i="15"/>
  <c r="E80" i="15"/>
  <c r="E76" i="15"/>
  <c r="J70" i="15"/>
  <c r="E68" i="15"/>
  <c r="E66" i="15"/>
  <c r="E56" i="15"/>
  <c r="E46" i="15"/>
  <c r="E44" i="15"/>
  <c r="E52" i="15" s="1"/>
  <c r="E34" i="15"/>
  <c r="E11" i="15"/>
  <c r="E12" i="15"/>
  <c r="E24" i="15"/>
  <c r="E22" i="15"/>
  <c r="E67" i="15"/>
  <c r="E74" i="15" s="1"/>
  <c r="E57" i="15"/>
  <c r="E55" i="15"/>
  <c r="E45" i="15"/>
  <c r="E35" i="15"/>
  <c r="E33" i="15"/>
  <c r="E23" i="15"/>
  <c r="E13" i="15"/>
  <c r="D13" i="15"/>
  <c r="D11" i="15"/>
  <c r="K48" i="42"/>
  <c r="K109" i="42"/>
  <c r="K79" i="42"/>
  <c r="K16" i="42"/>
  <c r="E14" i="42"/>
  <c r="K99" i="42"/>
  <c r="K42" i="42"/>
  <c r="K19" i="42"/>
  <c r="K78" i="42"/>
  <c r="K82" i="42"/>
  <c r="K90" i="42"/>
  <c r="K84" i="42"/>
  <c r="K13" i="42"/>
  <c r="K94" i="42"/>
  <c r="E108" i="42"/>
  <c r="E18" i="42"/>
  <c r="K91" i="42"/>
  <c r="K111" i="42"/>
  <c r="E101" i="42"/>
  <c r="E81" i="42"/>
  <c r="E76" i="42"/>
  <c r="K59" i="42"/>
  <c r="K103" i="42"/>
  <c r="K43" i="42"/>
  <c r="K96" i="42"/>
  <c r="K93" i="42"/>
  <c r="K83" i="42"/>
  <c r="K102" i="42"/>
  <c r="K45" i="42"/>
  <c r="K40" i="42"/>
  <c r="K12" i="42"/>
  <c r="E85" i="42"/>
  <c r="K100" i="42"/>
  <c r="K86" i="42"/>
  <c r="K64" i="42"/>
  <c r="E47" i="42"/>
  <c r="K46" i="42"/>
  <c r="K50" i="42"/>
  <c r="F75" i="15"/>
  <c r="F82" i="15"/>
  <c r="F83" i="15"/>
  <c r="F80" i="15"/>
  <c r="D80" i="17"/>
  <c r="J80" i="17"/>
  <c r="D84" i="17"/>
  <c r="J84" i="17"/>
  <c r="J29" i="17"/>
  <c r="D41" i="17"/>
  <c r="J41" i="17" s="1"/>
  <c r="D30" i="17"/>
  <c r="D77" i="17"/>
  <c r="J77" i="17" s="1"/>
  <c r="J13" i="17"/>
  <c r="D79" i="17"/>
  <c r="J10" i="17"/>
  <c r="D76" i="17"/>
  <c r="J76" i="17" s="1"/>
  <c r="D74" i="17"/>
  <c r="J74" i="17" s="1"/>
  <c r="J16" i="17"/>
  <c r="D82" i="17"/>
  <c r="J82" i="17" s="1"/>
  <c r="D19" i="17"/>
  <c r="J19" i="17" s="1"/>
  <c r="D75" i="17"/>
  <c r="J75" i="17" s="1"/>
  <c r="J9" i="17"/>
  <c r="D78" i="17"/>
  <c r="J78" i="17" s="1"/>
  <c r="D81" i="17"/>
  <c r="J81" i="17" s="1"/>
  <c r="J28" i="17"/>
  <c r="D83" i="17"/>
  <c r="J83" i="17" s="1"/>
  <c r="D52" i="17"/>
  <c r="J52" i="17" s="1"/>
  <c r="H81" i="15"/>
  <c r="H41" i="15"/>
  <c r="H80" i="15"/>
  <c r="H63" i="15"/>
  <c r="H84" i="15"/>
  <c r="H76" i="15"/>
  <c r="H19" i="15"/>
  <c r="H75" i="15"/>
  <c r="H83" i="15"/>
  <c r="H30" i="15"/>
  <c r="H52" i="15"/>
  <c r="H78" i="15"/>
  <c r="H79" i="15"/>
  <c r="H77" i="15"/>
  <c r="G52" i="15"/>
  <c r="G74" i="15"/>
  <c r="G79" i="15"/>
  <c r="G77" i="15"/>
  <c r="G19" i="15"/>
  <c r="G41" i="15"/>
  <c r="G78" i="15"/>
  <c r="F41" i="15"/>
  <c r="F52" i="15"/>
  <c r="F74" i="15"/>
  <c r="F79" i="15"/>
  <c r="F19" i="15"/>
  <c r="E30" i="15"/>
  <c r="E17" i="42" l="1"/>
  <c r="E15" i="42"/>
  <c r="K52" i="42"/>
  <c r="E53" i="42"/>
  <c r="K53" i="42"/>
  <c r="F291" i="44"/>
  <c r="F17" i="29" s="1"/>
  <c r="D41" i="42" s="1"/>
  <c r="D65" i="42"/>
  <c r="E65" i="42" s="1"/>
  <c r="K49" i="42"/>
  <c r="L246" i="5"/>
  <c r="D60" i="42" s="1"/>
  <c r="K60" i="42" s="1"/>
  <c r="G45" i="19"/>
  <c r="E45" i="19"/>
  <c r="I45" i="19"/>
  <c r="H45" i="19"/>
  <c r="L176" i="5"/>
  <c r="D58" i="42" s="1"/>
  <c r="E58" i="42" s="1"/>
  <c r="E30" i="17"/>
  <c r="E79" i="17"/>
  <c r="J79" i="17" s="1"/>
  <c r="J29" i="18"/>
  <c r="D84" i="18"/>
  <c r="J21" i="18"/>
  <c r="D76" i="18"/>
  <c r="J76" i="18" s="1"/>
  <c r="E63" i="18"/>
  <c r="J55" i="18"/>
  <c r="F77" i="18"/>
  <c r="F52" i="18"/>
  <c r="J44" i="18"/>
  <c r="M39" i="21"/>
  <c r="D98" i="42" s="1"/>
  <c r="D85" i="17"/>
  <c r="J30" i="17"/>
  <c r="J79" i="18"/>
  <c r="L106" i="5"/>
  <c r="D56" i="42" s="1"/>
  <c r="E56" i="42" s="1"/>
  <c r="M141" i="16"/>
  <c r="D69" i="42" s="1"/>
  <c r="M176" i="16"/>
  <c r="D70" i="42" s="1"/>
  <c r="F26" i="15"/>
  <c r="G52" i="18"/>
  <c r="D25" i="18"/>
  <c r="D23" i="18"/>
  <c r="J23" i="18" s="1"/>
  <c r="F74" i="18"/>
  <c r="E33" i="18"/>
  <c r="I82" i="15"/>
  <c r="J63" i="18"/>
  <c r="H71" i="15"/>
  <c r="I68" i="15"/>
  <c r="E85" i="17"/>
  <c r="K38" i="42"/>
  <c r="E41" i="15"/>
  <c r="E77" i="15"/>
  <c r="F78" i="15"/>
  <c r="F77" i="15"/>
  <c r="D75" i="18"/>
  <c r="D78" i="18"/>
  <c r="J78" i="18" s="1"/>
  <c r="I85" i="18"/>
  <c r="H74" i="18"/>
  <c r="J74" i="18" s="1"/>
  <c r="I30" i="18"/>
  <c r="G30" i="18"/>
  <c r="E30" i="18"/>
  <c r="H52" i="18"/>
  <c r="J52" i="18" s="1"/>
  <c r="H30" i="18"/>
  <c r="F84" i="18"/>
  <c r="F82" i="18"/>
  <c r="F80" i="18"/>
  <c r="F85" i="18" s="1"/>
  <c r="H85" i="18"/>
  <c r="D47" i="15"/>
  <c r="J27" i="19"/>
  <c r="J84" i="18"/>
  <c r="J75" i="18"/>
  <c r="E19" i="15"/>
  <c r="D63" i="17"/>
  <c r="J63" i="17" s="1"/>
  <c r="I84" i="15"/>
  <c r="J59" i="15"/>
  <c r="J72" i="15"/>
  <c r="J40" i="15"/>
  <c r="D82" i="18"/>
  <c r="J82" i="18" s="1"/>
  <c r="J12" i="18"/>
  <c r="J38" i="15"/>
  <c r="J32" i="15"/>
  <c r="J9" i="19"/>
  <c r="J64" i="15"/>
  <c r="D12" i="15"/>
  <c r="J48" i="15"/>
  <c r="J51" i="15"/>
  <c r="J36" i="15"/>
  <c r="J28" i="15"/>
  <c r="D45" i="15"/>
  <c r="D34" i="15"/>
  <c r="D56" i="15"/>
  <c r="D68" i="15"/>
  <c r="D35" i="15"/>
  <c r="D67" i="15"/>
  <c r="D22" i="15"/>
  <c r="D42" i="15"/>
  <c r="D21" i="15"/>
  <c r="J21" i="15" s="1"/>
  <c r="D14" i="15"/>
  <c r="J14" i="15" s="1"/>
  <c r="D58" i="15"/>
  <c r="J58" i="15" s="1"/>
  <c r="D37" i="15"/>
  <c r="D16" i="15"/>
  <c r="D60" i="15"/>
  <c r="J60" i="15" s="1"/>
  <c r="D50" i="15"/>
  <c r="J50" i="15" s="1"/>
  <c r="D18" i="15"/>
  <c r="D62" i="15"/>
  <c r="J62" i="15" s="1"/>
  <c r="D31" i="15"/>
  <c r="D54" i="15"/>
  <c r="J54" i="15" s="1"/>
  <c r="D69" i="15"/>
  <c r="D27" i="15"/>
  <c r="D39" i="15"/>
  <c r="J39" i="15" s="1"/>
  <c r="D73" i="15"/>
  <c r="J73" i="15" s="1"/>
  <c r="D53" i="15"/>
  <c r="D63" i="15" s="1"/>
  <c r="D17" i="15"/>
  <c r="D49" i="15"/>
  <c r="J49" i="15" s="1"/>
  <c r="J68" i="15"/>
  <c r="E71" i="42"/>
  <c r="K71" i="42"/>
  <c r="K69" i="42"/>
  <c r="E69" i="42"/>
  <c r="K70" i="42"/>
  <c r="E70" i="42"/>
  <c r="J26" i="15"/>
  <c r="F30" i="15"/>
  <c r="E57" i="42"/>
  <c r="K57" i="42"/>
  <c r="K68" i="42"/>
  <c r="E68" i="42"/>
  <c r="K72" i="42"/>
  <c r="E72" i="42"/>
  <c r="E75" i="15"/>
  <c r="E63" i="15"/>
  <c r="G75" i="15"/>
  <c r="G63" i="15"/>
  <c r="H74" i="15"/>
  <c r="H82" i="15"/>
  <c r="H85" i="15" s="1"/>
  <c r="E79" i="15"/>
  <c r="E78" i="15"/>
  <c r="F76" i="15"/>
  <c r="F81" i="15"/>
  <c r="G82" i="15"/>
  <c r="I81" i="15"/>
  <c r="J21" i="19"/>
  <c r="J33" i="19"/>
  <c r="J39" i="19"/>
  <c r="D10" i="15"/>
  <c r="D76" i="15" s="1"/>
  <c r="I53" i="15"/>
  <c r="I75" i="15" s="1"/>
  <c r="I11" i="15"/>
  <c r="I13" i="15"/>
  <c r="I23" i="15"/>
  <c r="J23" i="15" s="1"/>
  <c r="I33" i="15"/>
  <c r="I35" i="15"/>
  <c r="J35" i="15" s="1"/>
  <c r="I45" i="15"/>
  <c r="I55" i="15"/>
  <c r="I57" i="15"/>
  <c r="I67" i="15"/>
  <c r="J67" i="15" s="1"/>
  <c r="J11" i="15"/>
  <c r="J71" i="15"/>
  <c r="I12" i="15"/>
  <c r="I22" i="15"/>
  <c r="I24" i="15"/>
  <c r="J24" i="15" s="1"/>
  <c r="I34" i="15"/>
  <c r="J34" i="15" s="1"/>
  <c r="I44" i="15"/>
  <c r="I46" i="15"/>
  <c r="J46" i="15" s="1"/>
  <c r="I56" i="15"/>
  <c r="I66" i="15"/>
  <c r="J33" i="15"/>
  <c r="J57" i="15"/>
  <c r="J55" i="15"/>
  <c r="J44" i="15"/>
  <c r="J42" i="15"/>
  <c r="J18" i="15"/>
  <c r="J31" i="15"/>
  <c r="J69" i="15"/>
  <c r="J27" i="15"/>
  <c r="J53" i="15"/>
  <c r="J47" i="15"/>
  <c r="K22" i="42"/>
  <c r="E22" i="42"/>
  <c r="E35" i="42"/>
  <c r="K35" i="42"/>
  <c r="K112" i="42"/>
  <c r="D81" i="15"/>
  <c r="J81" i="15" s="1"/>
  <c r="D45" i="19"/>
  <c r="J45" i="19" s="1"/>
  <c r="K1" i="19" s="1"/>
  <c r="D62" i="42" s="1"/>
  <c r="E62" i="42" s="1"/>
  <c r="J15" i="19"/>
  <c r="L71" i="5"/>
  <c r="D55" i="42" s="1"/>
  <c r="E55" i="42" s="1"/>
  <c r="D80" i="15"/>
  <c r="J80" i="15" s="1"/>
  <c r="D77" i="15"/>
  <c r="J37" i="15"/>
  <c r="D19" i="15"/>
  <c r="M71" i="16"/>
  <c r="D67" i="42" s="1"/>
  <c r="E67" i="42" s="1"/>
  <c r="E116" i="42"/>
  <c r="E117" i="42"/>
  <c r="E114" i="42"/>
  <c r="K41" i="42" l="1"/>
  <c r="E41" i="42"/>
  <c r="K65" i="42"/>
  <c r="E60" i="42"/>
  <c r="K58" i="42"/>
  <c r="K56" i="42"/>
  <c r="E41" i="18"/>
  <c r="J41" i="18" s="1"/>
  <c r="D106" i="42" s="1"/>
  <c r="E77" i="18"/>
  <c r="J33" i="18"/>
  <c r="J85" i="17"/>
  <c r="K1" i="17" s="1"/>
  <c r="D88" i="42" s="1"/>
  <c r="E98" i="42"/>
  <c r="K98" i="42"/>
  <c r="D30" i="18"/>
  <c r="J30" i="18" s="1"/>
  <c r="J25" i="18"/>
  <c r="D80" i="18"/>
  <c r="J80" i="18" s="1"/>
  <c r="F85" i="15"/>
  <c r="E106" i="42"/>
  <c r="K106" i="42"/>
  <c r="D85" i="18"/>
  <c r="D52" i="15"/>
  <c r="D75" i="15"/>
  <c r="J75" i="15" s="1"/>
  <c r="D83" i="15"/>
  <c r="J83" i="15" s="1"/>
  <c r="D79" i="15"/>
  <c r="J16" i="15"/>
  <c r="D82" i="15"/>
  <c r="J82" i="15" s="1"/>
  <c r="D30" i="15"/>
  <c r="J10" i="15"/>
  <c r="D41" i="15"/>
  <c r="J17" i="15"/>
  <c r="J56" i="15"/>
  <c r="J45" i="15"/>
  <c r="D84" i="15"/>
  <c r="J84" i="15" s="1"/>
  <c r="D74" i="15"/>
  <c r="D78" i="15"/>
  <c r="I74" i="15"/>
  <c r="J74" i="15" s="1"/>
  <c r="J66" i="15"/>
  <c r="I30" i="15"/>
  <c r="J22" i="15"/>
  <c r="I63" i="15"/>
  <c r="J63" i="15" s="1"/>
  <c r="I41" i="15"/>
  <c r="I79" i="15"/>
  <c r="J79" i="15" s="1"/>
  <c r="J13" i="15"/>
  <c r="I77" i="15"/>
  <c r="J77" i="15" s="1"/>
  <c r="I19" i="15"/>
  <c r="J19" i="15"/>
  <c r="I52" i="15"/>
  <c r="J52" i="15" s="1"/>
  <c r="I78" i="15"/>
  <c r="J12" i="15"/>
  <c r="G85" i="15"/>
  <c r="E85" i="15"/>
  <c r="K62" i="42"/>
  <c r="K55" i="42"/>
  <c r="J76" i="15"/>
  <c r="K67" i="42"/>
  <c r="K88" i="42" l="1"/>
  <c r="E88" i="42"/>
  <c r="E85" i="18"/>
  <c r="J85" i="18" s="1"/>
  <c r="K1" i="18" s="1"/>
  <c r="D105" i="42" s="1"/>
  <c r="J77" i="18"/>
  <c r="I85" i="15"/>
  <c r="J41" i="15"/>
  <c r="D85" i="15"/>
  <c r="J85" i="15" s="1"/>
  <c r="K1" i="15" s="1"/>
  <c r="D74" i="42" s="1"/>
  <c r="E74" i="42" s="1"/>
  <c r="J78" i="15"/>
  <c r="J30" i="15"/>
  <c r="K105" i="42" l="1"/>
  <c r="E105" i="42"/>
  <c r="K74" i="42"/>
  <c r="K118" i="42" s="1"/>
  <c r="A7" i="42" s="1"/>
</calcChain>
</file>

<file path=xl/sharedStrings.xml><?xml version="1.0" encoding="utf-8"?>
<sst xmlns="http://schemas.openxmlformats.org/spreadsheetml/2006/main" count="1311" uniqueCount="672">
  <si>
    <t>Main Telephone Number of Local Educational Agency</t>
  </si>
  <si>
    <t>Tab Title</t>
  </si>
  <si>
    <t>Applicant Information and Certification</t>
  </si>
  <si>
    <t>Local Educational Agency Consolidated Application for</t>
  </si>
  <si>
    <t>Title I, Part A; Title II, Part A; and Title III, Part A</t>
  </si>
  <si>
    <t>of the Elementary and Secondary Education Act of 1965 (ESEA)</t>
  </si>
  <si>
    <t>Chairperson of the Board of Directors</t>
  </si>
  <si>
    <t>Chancellor</t>
  </si>
  <si>
    <t>Part 1: Local Educational Agency Information</t>
  </si>
  <si>
    <t>Name of LEA Executive Director (Public Charter Schools Only)</t>
  </si>
  <si>
    <t>Full Address of Local Educational Agency</t>
  </si>
  <si>
    <t>Email Address of LEA Executive Director (Public Charter Schools Only)</t>
  </si>
  <si>
    <t>Telephone Number of LEA Executive Director (Public Charter Schools Only)</t>
  </si>
  <si>
    <t>Name of Primary LEA Contact for Consolidated Application Programs</t>
  </si>
  <si>
    <t>Name of Additional LEA Contact for Consolidated Application Programs</t>
  </si>
  <si>
    <t>Position Title of Primary LEA Contact for Consolidated Application Programs</t>
  </si>
  <si>
    <t>Position Title of Additional LEA Contact for Consolidated Application Programs</t>
  </si>
  <si>
    <t>Email Address of Primary LEA Contact for Consolidated Application Programs</t>
  </si>
  <si>
    <t>Email Address of Additional LEA Contact for Consolidated Application Programs</t>
  </si>
  <si>
    <t>Telephone Number of Primary LEA Contact for Consolidated Application Programs</t>
  </si>
  <si>
    <t>Telephone Number of Additional LEA Contact for Consolidated Application Programs</t>
  </si>
  <si>
    <t>Date of Certification (input at the time of signature)</t>
  </si>
  <si>
    <t>OSSE Use Only</t>
  </si>
  <si>
    <t>X</t>
  </si>
  <si>
    <t>For each of the assurances listed below, check the gray box to indicate that the Local Educational Agency has read and agrees to comply with the assurance.</t>
  </si>
  <si>
    <t>PHASE II: PROGRAM PLANS</t>
  </si>
  <si>
    <t>Date Phase II Application First Received:</t>
  </si>
  <si>
    <t>Date Phase II Application Approved (first date for reimbursement):</t>
  </si>
  <si>
    <r>
      <t xml:space="preserve">810 First Street, NE, 9th floor, Washington, DC 20002
Phone: 202.727.6436  •   Fax: 202.727.2019   •   </t>
    </r>
    <r>
      <rPr>
        <u/>
        <sz val="11"/>
        <color indexed="56"/>
        <rFont val="Calibri"/>
        <family val="2"/>
      </rPr>
      <t>www.osse.dc.gov</t>
    </r>
    <r>
      <rPr>
        <sz val="11"/>
        <rFont val="Calibri"/>
        <family val="2"/>
      </rPr>
      <t xml:space="preserve">
</t>
    </r>
  </si>
  <si>
    <t>LEA Allocation for Title I, Part A</t>
  </si>
  <si>
    <t>LEA Allocation for Title II, Part A</t>
  </si>
  <si>
    <t>Part 2: Programs for Which the LEA is Applying for Funding</t>
  </si>
  <si>
    <t>Part 4: LEA Certification of Application</t>
  </si>
  <si>
    <t>Part 3: Schedule for Submission of Reimbursement Requests</t>
  </si>
  <si>
    <t>By signing below, the Applicant certifies that all of the information contained in this application is true and accurate to the best of its knowledge.                                                             Additionally, the Applicant certifies that it has read and agrees to all additional assurances and certifications included in Phase II of the application.</t>
  </si>
  <si>
    <t>Monthly (12 workbooks per year)</t>
  </si>
  <si>
    <t>Bi-Monthly (6 workbooks per year)</t>
  </si>
  <si>
    <t>Quarterly (4 workbooks per year)</t>
  </si>
  <si>
    <t>Below, input the allocation, provided by the State Education Agency, for each program for which the LEA is applying for funding through this application.                                                           For Title III, Part A, the LEA is eligible to apply through this application only if the allocation is at least $10,000.                                                                                                                            Please note that allocations are subject to change according to the applicable federal and state statutes, regulations, and policies.</t>
  </si>
  <si>
    <t>LEA Allocation for Title III, Part A</t>
  </si>
  <si>
    <t>Category 1: Salaries and Benefits</t>
  </si>
  <si>
    <t xml:space="preserve">Name of Individual                                                                                       -------------------                                                                                (one individual per line)                                                              </t>
  </si>
  <si>
    <t>Position Title</t>
  </si>
  <si>
    <r>
      <t xml:space="preserve">Program Category            </t>
    </r>
    <r>
      <rPr>
        <sz val="10"/>
        <rFont val="Calibri"/>
        <family val="2"/>
      </rPr>
      <t>(select from     drop-down menu)</t>
    </r>
  </si>
  <si>
    <t xml:space="preserve">Category 2: Supplies and Materials:                                                                                                                                                                                                                                                                                                                                                                                </t>
  </si>
  <si>
    <t>Category 3: Fixed Costs</t>
  </si>
  <si>
    <r>
      <t xml:space="preserve">Category 5: Equipment, </t>
    </r>
    <r>
      <rPr>
        <b/>
        <i/>
        <sz val="11"/>
        <rFont val="Calibri"/>
        <family val="2"/>
      </rPr>
      <t>defined as</t>
    </r>
    <r>
      <rPr>
        <b/>
        <sz val="11"/>
        <rFont val="Calibri"/>
        <family val="2"/>
      </rPr>
      <t xml:space="preserve">                                                                                                                                                                                                                                                                                                                       "tangible personal property having a useful life of more than one year, not considered a supply, with an acquisition cost of $5,000 or more per unit"</t>
    </r>
  </si>
  <si>
    <t>Category 6: Other</t>
  </si>
  <si>
    <t>Brief Description of Job Responsibilities                                                                                                                                                                                                                                    -----------------------------------------------------------------                                                                                                                                                                                                                   (up to 100 characters sufficient to demonstrate that the responsibilities align with allowable activities described in the LEA's narrative)</t>
  </si>
  <si>
    <t>Item to be Purchased</t>
  </si>
  <si>
    <t>Instruction</t>
  </si>
  <si>
    <t>Support Services</t>
  </si>
  <si>
    <t>Other</t>
  </si>
  <si>
    <t>Brief Description of Purpose of Purchase                                                                                                                                                                                                                                   -----------------------------------------------------------------                                                                                                                                                                                                                   (up to 100 characters sufficient to demonstrate that the purchase aligns with allowable activities described in the LEA's narrative)</t>
  </si>
  <si>
    <t>Definitions and Examples for Each Program Category and Budget Category</t>
  </si>
  <si>
    <t>DIRECT COSTS</t>
  </si>
  <si>
    <t>Budget Categories</t>
  </si>
  <si>
    <t>Salaries and Benefits</t>
  </si>
  <si>
    <t>Supplies and Materials</t>
  </si>
  <si>
    <t xml:space="preserve">Fixed Property Costs </t>
  </si>
  <si>
    <t>Contracted Professional Services</t>
  </si>
  <si>
    <t>Equipment</t>
  </si>
  <si>
    <t xml:space="preserve">Other                          </t>
  </si>
  <si>
    <t>Program Categories</t>
  </si>
  <si>
    <t>Teachers, Project Directors, Coaches,  Substitute Teachers, Teacher's Aides, Reading Specialists, Classroom Paraprofessionals</t>
  </si>
  <si>
    <t>General Supplies, Textbooks,  Instructional Aids, Instructional Software, Internet Fees - Site License</t>
  </si>
  <si>
    <t>Rental of Instruction Equipment</t>
  </si>
  <si>
    <t>Contracted Teachers or Substitute Teachers (those that are not an official employee)</t>
  </si>
  <si>
    <t>Machinery, Furniture, Fixtures, Technology-related Hardware more than $5,000 per unit (according to OSSE's equipment policy)</t>
  </si>
  <si>
    <t>Dues and Fees, Reimbursement of Tuition, Teacher Aide Education, Travel Costs, Non-Payroll Taxes, Miscellaneous</t>
  </si>
  <si>
    <r>
      <t xml:space="preserve">SUPPORT SERVICES
</t>
    </r>
    <r>
      <rPr>
        <sz val="10"/>
        <rFont val="Calibri"/>
        <family val="2"/>
      </rPr>
      <t>The technical and logistical support to facilitate and enhance instruction. These are services within programs that aid in fulfilling that program's instructional objectives or community service goals, rather than being full-service entities.  Such services include activities or stipends associated with providing professional development to the instructional staff, assessing and improving the well-being of students, and supplementing the teaching process.</t>
    </r>
  </si>
  <si>
    <t>Tutors, Librarians, Counselors, Audiovisual, Curriculum Consultants, Program Evaluators,  Psychologists, Social Workers, Nurses, Attendance Personnel, Record Clerks,  Instructional Staff Trainers, Chief Academic Officer, Dean of Students</t>
  </si>
  <si>
    <t>Rental of Support Services Equipment</t>
  </si>
  <si>
    <t>Contracted Consultants, Counselors, Therapists,  Doctors or Instructional Staff Trainers.  
Fees for Professional Development, In-service Training, or Conference Registration</t>
  </si>
  <si>
    <t>Office assistants, Clerks, Researchers, Public Relations,   Project Directors, Purchasers, Accounting, Human Resources, Printers, Publishers, Data Processing</t>
  </si>
  <si>
    <t>General Supplies, Books, Periodicals</t>
  </si>
  <si>
    <t>Rental of Administrative Equipment</t>
  </si>
  <si>
    <t>Auditors, Lawyers, Accountants, Admin Staff Trainers</t>
  </si>
  <si>
    <r>
      <t xml:space="preserve">OPERATIONS AND MAINTENANCE
</t>
    </r>
    <r>
      <rPr>
        <sz val="10"/>
        <rFont val="Calibri"/>
        <family val="2"/>
      </rPr>
      <t>The activities concerned with keeping the physical plant open and comfortable; maintaining safety in buildings, grounds, and the vicinity of schools; and keeping the grounds, buildings, and equipment in effective working condition and state of repair.</t>
    </r>
  </si>
  <si>
    <t>Maintenance, Security, Cooks</t>
  </si>
  <si>
    <t>General Supplies</t>
  </si>
  <si>
    <t>Utility Services, Cleaning Services, Repair and Maintenance Services, Rentals, Other Property Services</t>
  </si>
  <si>
    <t>Other Contracted Services</t>
  </si>
  <si>
    <r>
      <t xml:space="preserve">STUDENT TRANSPORTATION
</t>
    </r>
    <r>
      <rPr>
        <sz val="10"/>
        <rFont val="Calibri"/>
        <family val="2"/>
      </rPr>
      <t>Those activities concerned with conveying students to and from school as part of the School Choice requirements for schools in School Improvement.</t>
    </r>
  </si>
  <si>
    <t>Bus drivers</t>
  </si>
  <si>
    <t>Rental of Equipment and Vehicles</t>
  </si>
  <si>
    <t>OTHER</t>
  </si>
  <si>
    <t>Salaries</t>
  </si>
  <si>
    <t>Rents and Utilities</t>
  </si>
  <si>
    <t>Contracts</t>
  </si>
  <si>
    <t>Operations and Maintenance</t>
  </si>
  <si>
    <t>Total Amount of Funds to be Paid for Supplies and Materials</t>
  </si>
  <si>
    <t>Total Estimated FTEs to be Funded from this Source</t>
  </si>
  <si>
    <t>Total Amount of Funds to be Paid for Salaries and Benefits</t>
  </si>
  <si>
    <t>Administration</t>
  </si>
  <si>
    <t>Student Transportation</t>
  </si>
  <si>
    <t>Total Amount of Funds to be Paid for Fixed Property Costs</t>
  </si>
  <si>
    <t>Category 4: Contractual Services</t>
  </si>
  <si>
    <t>Total Amount of Funds to be Paid for Contractual Services</t>
  </si>
  <si>
    <t>Total Amount of Funds to be Paid for Equipment</t>
  </si>
  <si>
    <t>Total Amount of Funds to be Paid for Other Costs</t>
  </si>
  <si>
    <t>Budget for Consolidated Schoolwide Program Funds</t>
  </si>
  <si>
    <t xml:space="preserve"> Portion of a Full-Time Equivalent Position (Annual Salary &amp; Benefits) Covered                          </t>
  </si>
  <si>
    <t>Total Dollar Amount to be Paid from this Funding Source</t>
  </si>
  <si>
    <t>Total Dollar Amount from this Funding Source to be Paid for this Item</t>
  </si>
  <si>
    <t>Budget for Title I, Part A Funds (Unconsolidated)</t>
  </si>
  <si>
    <t>Financial Incentives</t>
  </si>
  <si>
    <t>Homeless</t>
  </si>
  <si>
    <t>Equitable Services</t>
  </si>
  <si>
    <t>Prof. Development</t>
  </si>
  <si>
    <t>Neg. &amp; Delinquent</t>
  </si>
  <si>
    <t>Parent Involvement</t>
  </si>
  <si>
    <t>SUB-TOTAL</t>
  </si>
  <si>
    <t>TOTAL OF ALL PROGRAM CATEGORIES</t>
  </si>
  <si>
    <t>GRAND TOTAL</t>
  </si>
  <si>
    <t xml:space="preserve">Other  </t>
  </si>
  <si>
    <t>Total of All Budget Categories</t>
  </si>
  <si>
    <r>
      <t xml:space="preserve">Set-Aside Category            </t>
    </r>
    <r>
      <rPr>
        <sz val="10"/>
        <rFont val="Calibri"/>
        <family val="2"/>
      </rPr>
      <t>(select from     drop-down menu)</t>
    </r>
  </si>
  <si>
    <t>Set-Aside Category            (select from     drop-down menu)</t>
  </si>
  <si>
    <t>Recruit./Retention</t>
  </si>
  <si>
    <t>Class-size Reduction</t>
  </si>
  <si>
    <t>Teacher Advancement</t>
  </si>
  <si>
    <t>Teacher Testing</t>
  </si>
  <si>
    <t>Merit Pay</t>
  </si>
  <si>
    <t>Principal Development</t>
  </si>
  <si>
    <t>Mentoring/Induction</t>
  </si>
  <si>
    <t>Budget for Title II, Part A Funds (Unconsolidated)</t>
  </si>
  <si>
    <t>Eng. Proficiency</t>
  </si>
  <si>
    <t>Objectives/Strategies</t>
  </si>
  <si>
    <t>Tutorials</t>
  </si>
  <si>
    <t>Lang. Instruction Prog.</t>
  </si>
  <si>
    <t>Parent/Community</t>
  </si>
  <si>
    <t>Curricula/Materials</t>
  </si>
  <si>
    <t>Ed. Technology</t>
  </si>
  <si>
    <t>Budget for Title III, Part A Funds (Unconsolidated)</t>
  </si>
  <si>
    <t>Operations &amp; Maintenance</t>
  </si>
  <si>
    <t>Fixed Property Costs</t>
  </si>
  <si>
    <t xml:space="preserve">Category 2: Supplies and Materials                                                                                                                                                                                                                                                                                                                                      </t>
  </si>
  <si>
    <t>Contractual Services</t>
  </si>
  <si>
    <t>Type of Activity            (select from     drop-down menu)</t>
  </si>
  <si>
    <t>Program Category            (select from     drop-down menu)</t>
  </si>
  <si>
    <t>Off the Top Reserve</t>
  </si>
  <si>
    <r>
      <t xml:space="preserve">SUBMIT </t>
    </r>
    <r>
      <rPr>
        <b/>
        <u/>
        <sz val="11"/>
        <color indexed="10"/>
        <rFont val="Calibri"/>
        <family val="2"/>
      </rPr>
      <t>BOTH</t>
    </r>
    <r>
      <rPr>
        <b/>
        <sz val="11"/>
        <color indexed="10"/>
        <rFont val="Calibri"/>
        <family val="2"/>
      </rPr>
      <t xml:space="preserve"> A MICROSOFT EXCEL VERSION OF THIS FULL WORKBOOK </t>
    </r>
    <r>
      <rPr>
        <b/>
        <u/>
        <sz val="11"/>
        <color indexed="10"/>
        <rFont val="Calibri"/>
        <family val="2"/>
      </rPr>
      <t>AND</t>
    </r>
    <r>
      <rPr>
        <b/>
        <sz val="11"/>
        <color indexed="10"/>
        <rFont val="Calibri"/>
        <family val="2"/>
      </rPr>
      <t xml:space="preserve"> A SIGNED, SCANNED COPY OF THIS PAGE BY EMAIL TO </t>
    </r>
    <r>
      <rPr>
        <b/>
        <u/>
        <sz val="11"/>
        <color indexed="10"/>
        <rFont val="Calibri"/>
        <family val="2"/>
      </rPr>
      <t>CON.APP@DC.GOV</t>
    </r>
    <r>
      <rPr>
        <b/>
        <sz val="11"/>
        <color indexed="10"/>
        <rFont val="Calibri"/>
        <family val="2"/>
      </rPr>
      <t>.</t>
    </r>
  </si>
  <si>
    <t>Required and Optional Set-Asides and Reservations from Title I, Part A Funds</t>
  </si>
  <si>
    <t>Parental Involvement Set-Aside</t>
  </si>
  <si>
    <t>Yes</t>
  </si>
  <si>
    <t>No</t>
  </si>
  <si>
    <t>Amount of Equitable Services Reservation:</t>
  </si>
  <si>
    <t>Below, explain the process used to determine the amount to be reserved from the Title I, Part A allocation to provide equitable services.  OSSE may require documentation of this process prior to approval of the Consolidated Application.</t>
  </si>
  <si>
    <t>Reservation for Homeless Children in Non-Title I Schools</t>
  </si>
  <si>
    <t>Amount of Reservation for Homeless Children:</t>
  </si>
  <si>
    <t>Amount of Reservation for Neglected and Delinquent Children:</t>
  </si>
  <si>
    <t>Below, explain the process used to determine the amount to be reserved from the Title I, Part A allocation to provide services to neglected and delinquent children.</t>
  </si>
  <si>
    <t>Reservation for Neglected and Delinquent Children</t>
  </si>
  <si>
    <t>Amount of Optional Set-Aside for Costs of Administration of the Grant Program:</t>
  </si>
  <si>
    <t>Administrative Set-Aside</t>
  </si>
  <si>
    <t>Financial Incentives and Rewards Set-Aside</t>
  </si>
  <si>
    <t>Amount of Optional Set-Aside for Financial Incentives and Rewards:</t>
  </si>
  <si>
    <t>Additional Off the Top Reservation</t>
  </si>
  <si>
    <t>Amount of Additional Off the Top Reservation:</t>
  </si>
  <si>
    <t xml:space="preserve">Below, explain with specificity the need/s identified by the LEA that support the reservation of additional funds "off the top."   </t>
  </si>
  <si>
    <t>TOTAL OF ALL SET-ASIDES AND RESERVATIONS FROM THE LEA'S TITLE I, PART A ALLOCATION:                                               (For LEAs electing to consolidate funds within SWP schools, this amount can NOT be consolidated.)</t>
  </si>
  <si>
    <t>Optional Consolidation of Funds in a Consolidated Schoolwide Program Pool of Funds</t>
  </si>
  <si>
    <t>Maximum Available for Consolidation from Title I, Part A (for reference):</t>
  </si>
  <si>
    <t>Total Amount of Title I, Part A Funds to be Consolidated in Consolidated Schoolwide Program Pool:</t>
  </si>
  <si>
    <t>Total Amount of Title II, Part A Funds to be Consolidated in Consolidated Schoolwide Program Pool:</t>
  </si>
  <si>
    <t>Total Amount of Title III, Part A Funds to be Consolidated in Consolidated Schoolwide Program Pool:</t>
  </si>
  <si>
    <t>Total Amount of Local Funds to be Consolidated in Consolidated Schoolwide Program Pool:</t>
  </si>
  <si>
    <t>TOTAL AMOUNT IN CONSOLIDATED SCHOOLWIDE PROGRAM POOL OF FUNDS:</t>
  </si>
  <si>
    <t>Estimated Percentage of Title II, Part A Funds (Unconsolidated) Dedicated to These Activities:</t>
  </si>
  <si>
    <t>Recruitment and/or Retention Initiatives for Highly Qualified Teachers and Principals</t>
  </si>
  <si>
    <t>Follow the directions below to indicate how the LEA plans to use Title II, Part A (Unconsolidated) funds.                                                                                                                                                                                                                                   If all Title II, Part A funds are consolidated in a Consolidated Schoolwide Program pool of funds, skip this section.</t>
  </si>
  <si>
    <t xml:space="preserve">Professional Development </t>
  </si>
  <si>
    <t>Teacher Mentoring and/or Induction</t>
  </si>
  <si>
    <t>Merit Pay and/or Financial Incentives</t>
  </si>
  <si>
    <t>Class-Size Reduction Through Hiring Highly Qualified Teachers</t>
  </si>
  <si>
    <t>Other Allowable Activities</t>
  </si>
  <si>
    <t>Follow the directions below to indicate how the LEA plans to use Title III, Part A (Unconsolidated) funds.                                                                                                                                                                                                                                   If all Title III, Part A funds are consolidated in a Consolidated Schoolwide Program pool of funds, skip this section.</t>
  </si>
  <si>
    <t>Estimated Percentage of Title III, Part A Funds (Unconsolidated) Dedicated to These Activities:</t>
  </si>
  <si>
    <t>Identifying, Acquiring, and Upgrading Curricula, Instructional Materials, and Assessment Procedures</t>
  </si>
  <si>
    <t>Upgrading Program Objectives and Effective Instruction Strategies</t>
  </si>
  <si>
    <t>Tutorials for Limited English Proficient Children</t>
  </si>
  <si>
    <t>Developing Language Instruction Educational Programs</t>
  </si>
  <si>
    <t>Community Participation, Family Literacy Services, and Parent Outreach and Training Activities</t>
  </si>
  <si>
    <t>Improving Instruction of Limited English Proficient Children Through Education Technology</t>
  </si>
  <si>
    <r>
      <t xml:space="preserve">All allowable uses of Title III, Part A funds are outlined in Section 3115 of the Elementary and Secondary Education Act.  Below, provide summary information regarding the LEA's planned uses of funds.   While the first two categories of activities are </t>
    </r>
    <r>
      <rPr>
        <i/>
        <sz val="10"/>
        <rFont val="Calibri"/>
        <family val="2"/>
      </rPr>
      <t>required</t>
    </r>
    <r>
      <rPr>
        <sz val="10"/>
        <rFont val="Calibri"/>
        <family val="2"/>
      </rPr>
      <t>, all others are optional, authorized activities.  Therefore, the LEA need not complete all sections, depending on its planned uses of funds.  Costs for administering the grant may fall in any (one of more) of the categories; no more than 2% of the LEA's allocation may be used for administration (which OSSE will review on the budget worksheet).</t>
    </r>
  </si>
  <si>
    <t>Professional Development as REQUIRED by Section 3115(c)(2)</t>
  </si>
  <si>
    <t>High-Quality Language Instruction to Increase English Proficiency and Academic Achievement as REQUIRED by Section 3115(c)(1)</t>
  </si>
  <si>
    <t>Summary of Planned Expenditures from Title III, Part A (Unconsolidated) Funds</t>
  </si>
  <si>
    <t>Summary of Planned Expenditures from Title II, Part A (Unconsolidated) Funds</t>
  </si>
  <si>
    <t>Detailed Planned Expenditures from Title I, Part A (Unconsolidated) Funds</t>
  </si>
  <si>
    <t>Detailed Planned Expenditures from Title II, Part A (Unconsolidated) Funds</t>
  </si>
  <si>
    <t>Detailed Planned Expenditures from Title III, Part A (Unconsolidated) Funds</t>
  </si>
  <si>
    <t>Summary of Planned Expenditures from Title I, Part A (Unconsolidated) Funds</t>
  </si>
  <si>
    <t>Initiative #1 (input name/brief identifying phrase):</t>
  </si>
  <si>
    <t>Initiative #10 (input name/brief identifying phrase):</t>
  </si>
  <si>
    <t>Initiative #9 (input name/brief identifying phrase):</t>
  </si>
  <si>
    <t>Initiative #8 (input name/brief identifying phrase):</t>
  </si>
  <si>
    <t>Initiative #7 (input name/brief identifying phrase):</t>
  </si>
  <si>
    <t>Initiative #6 (input name/brief identifying phrase):</t>
  </si>
  <si>
    <t>Initiative #5 (input name/brief identifying phrase):</t>
  </si>
  <si>
    <t>Initiative #4 (input name/brief identifying phrase):</t>
  </si>
  <si>
    <t>Initiative #3 (input name/brief identifying phrase):</t>
  </si>
  <si>
    <t>Initiative #2 (input name/brief identifying phrase):</t>
  </si>
  <si>
    <t>Summary of Planned Expenditures from Consolidated Schoolwide Program Funds</t>
  </si>
  <si>
    <t>Follow the directions below to indicate how the LEA plans to use Consolidated Schoolwide Program Funds.                                                                                                                                                                                                                                   If no funds are being consolidated in a Consolidated Schoolwide Program pool of funds, skip this section.</t>
  </si>
  <si>
    <t>Below,  for all funds that are consolidated in the Consolidated Schoolwide Program pool of funds, the LEA must provide summaries of planned uses of funds in categories according to the initiatives/activities the LEA will pay for at least partially with Consolidated Schoolwide Program funds.  For example, if all Consolidated Schoolwide Program funds will be used for salaries for school improvement coaches, salaries of highly qualified teachers for class-size reduction purposes, and costs associated with a tutoring program for the most at-risk students, the LEA should summarize these three initiatives in two sections of this worksheet.  ALL PLANNED EXPENDITURES MUST ALIGN WITH THE LEA-APPROVED SCHOOLWIDE PLAN/S.</t>
  </si>
  <si>
    <r>
      <t xml:space="preserve">The purpose of Title I, Part A funds is to enable school to provide opportunities for children served to acquire the knowledge and skills contained in the challenging state content standards and to meet the challenging state performance standards developed for all children.  The law provides many flexibilities and opportunities for LEAs and schools to meet the purpose of Title I, Part A.  In schoolwide program schools, an LEA may use Title I, Part A funds for any activities that are part of the schoolwide program plan.  Under the Title I, Part A statute, any school that consolidates and uses funds from different federal programs is not required to maintain separate fiscal accounting records by program, that identify the specific activities supported by those particular funds; </t>
    </r>
    <r>
      <rPr>
        <i/>
        <sz val="10"/>
        <rFont val="Calibri"/>
        <family val="2"/>
      </rPr>
      <t>however, the school must maintain records that demonstrate that the schoolwide program, as a whole, addresses the intents and purposes of each of the federal programs being consolidated to support the schoolwide program</t>
    </r>
    <r>
      <rPr>
        <sz val="10"/>
        <rFont val="Calibri"/>
        <family val="2"/>
      </rPr>
      <t xml:space="preserve">.  </t>
    </r>
  </si>
  <si>
    <t xml:space="preserve">Follow the directions below to indicate the amount of funds, if any, that will be consolidated in the LEA's Consolidated Schoolwide Program pool of funds.                                              </t>
  </si>
  <si>
    <t>Title I, Part A requires LEAs to use data to guide them in determining which students are failing, or are most at-risk for failing, the state’s academic achievement standards, and, based on this data, develop appropriate interventions and instructional strategies to improve student performance on the state’s academic assessments.  Title I, Part A also requires LEAs to determine what revisions are required on an annual basis to Title I, Part A programs to ensure that at-risk children meet the state’s academic standards.  LEAs must analyze student performance on the DC CAS, as well as other data sources, on at least an annual basis to assess student instructional needs to ensure programs supported with Title I, Part A funds effectively target those needs.  Accordingly, OSSE is requiring an assurance from all LEAs that they have performed a needs assessment and designed instructional strategies and other interventions supported with Title I, Part A funds based on the results of the needs assessment.
If the LEA has performed the required needs assessment, check the required assurance below and indicate the applicable data sources that guide the LEA’s Title I, Part A program strategies (including the potential consolidation of funds in a Consolidated Schoolwide Program pool of funds).</t>
  </si>
  <si>
    <t>The LEA assures that it performed a needs assessment and developed its Title I, Part A program based on its needs assessment.  The LEA further assures that the materials checked below will be available to OSSE upon request.</t>
  </si>
  <si>
    <t>Indicate the beginning date of the most recent comprehensive needs assessment.</t>
  </si>
  <si>
    <t>Indicate the ending date of the most recent comprehensive needs assessment.</t>
  </si>
  <si>
    <t>Please indicate below the data sources that were used to perform the needs assessment.</t>
  </si>
  <si>
    <t>Other student achievement test data (please specify)</t>
  </si>
  <si>
    <t>Attendance rates</t>
  </si>
  <si>
    <t>Enrollment counts</t>
  </si>
  <si>
    <t>Dropout rates</t>
  </si>
  <si>
    <t>Graduation rates</t>
  </si>
  <si>
    <t>DC CAS (required for LEAs serving grades 3 and above)</t>
  </si>
  <si>
    <t>English language proficiency assessments</t>
  </si>
  <si>
    <t>Demographic information/statistics</t>
  </si>
  <si>
    <t>Other (please specify)</t>
  </si>
  <si>
    <t>Quantitative Data Sources:</t>
  </si>
  <si>
    <t>Qualitative Data Sources:</t>
  </si>
  <si>
    <t>Surveys (such as parent surveys, teacher surveys, student surveys)</t>
  </si>
  <si>
    <t>Interviews with appropriate stakeholders (such as parents, members of the community, etc.)</t>
  </si>
  <si>
    <t>Evaluations of safety issues that may be barriers to learning</t>
  </si>
  <si>
    <t>Focus groups</t>
  </si>
  <si>
    <t>Classroom observations</t>
  </si>
  <si>
    <t>The Local Educational Agency (LEA) hereby assures the State Education Agency (SEA) that:</t>
  </si>
  <si>
    <t>The LEA has engaged in timely and meaningful consultation with appropriate private school officials during the design and development of the LEA's Title I, Part A program for eligible private school students, their teachers, and families.  The LEA must maintain and provide to OSSE a written affirmation, signed by officials of each private school with participating children or appropriate representatives of the private school officials that the required consultation has occurred.</t>
  </si>
  <si>
    <t xml:space="preserve">Please indicate the date(s) of consultation meetings with private school officials: </t>
  </si>
  <si>
    <t>(If an existing document can evidence the consultation dates, the LEA may submit that information as an attachment.)</t>
  </si>
  <si>
    <t>The LEA assures it has established, in consultation with appropriate private school officials, multiple, educationally related, objective criteria to identify private school students for Title I services.</t>
  </si>
  <si>
    <t>The LEA assures it has determined, in consultation with appropriate private school officials, how the Title I program that is provided to private school students will be assessed, what the agreed upon standards are, and how the annual progress will be measured.</t>
  </si>
  <si>
    <t>The LEA assures that it will reserve and spend an equitable amount of Title II, Part A funds to provide services to private school students, teachers, and other educational personnel.</t>
  </si>
  <si>
    <t>The LEA has engaged in timely and meaningful consultation with appropriate private school officials during the design and development of the LEA's Title II, Part A program for eligible private school students, their teachers, and families.  The LEA must maintain and provide to OSSE a written affirmation, signed by officials of each private school with participating children or appropriate representatives of the private school officials that the required consultation has occurred.</t>
  </si>
  <si>
    <t>Title III, Part A</t>
  </si>
  <si>
    <t>Title I, Part A</t>
  </si>
  <si>
    <t>The LEA has engaged in timely and meaningful consultation with appropriate private school officials during the design and development of the LEA's Title III, Part A program for eligible private school students, their teachers, and families.  The LEA must maintain and provide to OSSE a written affirmation, signed by officials of each private school with participating children or appropriate representatives of the private school officials that the required consultation has occurred.</t>
  </si>
  <si>
    <t>Title II, Part A</t>
  </si>
  <si>
    <t>The LEA assures that it will reserve and spend an equitable amount of Title III, Part A funds to provide services to private school students, teachers, and other educational personnel.</t>
  </si>
  <si>
    <t>Amount of Title I, Part A Equitable Services Reservation:</t>
  </si>
  <si>
    <t>Amount of Title II, Part A Equitable Services Reservation:</t>
  </si>
  <si>
    <t>Below, explain the process used to determine the amount to be reserved from the Title II, Part A allocation to provide equitable services.  OSSE may require documentation of this process prior to approval of the Consolidated Application.</t>
  </si>
  <si>
    <t>Amount of Title III, Part A Equitable Services Reservation:</t>
  </si>
  <si>
    <t>Below, explain the process used to determine the amount to be reserved from the Title III, Part A allocation to provide equitable services.  OSSE may require documentation of this process prior to approval of the Consolidated Application.</t>
  </si>
  <si>
    <t>Title I, Part A Comparability</t>
  </si>
  <si>
    <t>Maintenance of Effort</t>
  </si>
  <si>
    <r>
      <t xml:space="preserve">The LEA will submit an annual report demonstrating its compliance with the requirement to use state/local funds to provide services in Title I schools that, taken as a whole, are at least comparable to the services provided in schools that are not receiving Title I funds.  The final version of this report will be submitted to OSSE by </t>
    </r>
    <r>
      <rPr>
        <b/>
        <u/>
        <sz val="10"/>
        <rFont val="Calibri"/>
        <family val="2"/>
      </rPr>
      <t>no later than the first of February each year</t>
    </r>
    <r>
      <rPr>
        <sz val="10"/>
        <rFont val="Calibri"/>
        <family val="2"/>
      </rPr>
      <t xml:space="preserve">, </t>
    </r>
  </si>
  <si>
    <r>
      <t xml:space="preserve">The LEA will complete its initial comparability determinations and submit an initial report to OSSE annually by </t>
    </r>
    <r>
      <rPr>
        <b/>
        <u/>
        <sz val="10"/>
        <rFont val="Calibri"/>
        <family val="2"/>
      </rPr>
      <t>no later than the first of December each year</t>
    </r>
    <r>
      <rPr>
        <sz val="10"/>
        <rFont val="Calibri"/>
        <family val="2"/>
      </rPr>
      <t>.  If necessary, the LEA will make all appropriate corrections to Title I schools shown not to be comparable as soon as possible after the initial comparability determinations and by no later than the month of January.</t>
    </r>
  </si>
  <si>
    <t>With its annual Comparability report, due by no later than the first of February, the LEA will provide a full description of the process and data used to complete the report, which must align with the U.S. Department of Education's Non-Regulatory Guidance on Title I Fiscal Issues.</t>
  </si>
  <si>
    <t>With its annual Maintenance of Effort report, due by no later than the first of February, the LEA will provide a full description of the process and data used to complete the report, which must align with the U.S. Department of Education's Non-Regulatory Guidance on Title I Fiscal Issues and may use as its measure either aggregate expenditures of expenditures per pupil, whichever is most favorable to the LEA.</t>
  </si>
  <si>
    <t xml:space="preserve">The purpose of Title I, Part A funds is to enable school to provide opportunities for children served to acquire the knowledge and skills contained in the challenging state content standards and to meet the challenging state performance standards developed for all children.  The law provides many flexibilities and opportunities for LEAs and schools to meet the purpose of Title I, Part A.  In schoolwide program schools, an LEA may use Title I, Part A funds for any activities that are part of the schoolwide program plan.  </t>
  </si>
  <si>
    <t>Follow the directions below to indicate how the LEA plans to use Title I, Part A (Unconsolidated) Funds.                                                                                                                                                                                                                           If all Title I, Part A funds (or all Title I funds except required and optional set-asides/reservations) are being consolidated in a Consolidated Schoolwide Program pool of funds, skip this section.</t>
  </si>
  <si>
    <t>Additional Assurances Applicable to District of Columbia Public Schools (DCPS) Only</t>
  </si>
  <si>
    <t xml:space="preserve">Title II, Part A requires LEAs to conduct an assessment of local needs for professional development and hiring.  The purpose of the needs assessment is to determine the needs of the LEA’s teaching force in order to have all students meet challenging state content and academic achievement standards. An LEA may want to use information such as student achievement data, information about numbers of teachers (disaggregated by subject taught and grade level) who lack full teacher certification or licensure, assessments by administrators and mentor teachers who evaluate teacher and student performance, and teacher self-evaluations. </t>
  </si>
  <si>
    <t>The LEA assures that it has conducted an assessment of local needs for professional development and hiring that takes into account the activities that need to be conducted in order to give teachers the means, including subject matter knowledge and teaching skills to provide students with the opportunity to meet challenging state and local student academic assessments, and to give principals the instructional leadership skills to help teachers.  This needs assessment was conducted with the involvement of teachers.</t>
  </si>
  <si>
    <t>The LEA assures that it will make records required under Title II, Part A available to OSSE.  The required records shall detail:</t>
  </si>
  <si>
    <t>DC CAS</t>
  </si>
  <si>
    <t>Highly qualified teacher (HQT) data (required for LEAs with less than 100% compliance with HQ requirements)</t>
  </si>
  <si>
    <t>Human resources data (that would yield information on retention rates, vacancies, etc.)</t>
  </si>
  <si>
    <t>Teacher input (such as through teacher surveys, minutes of meetings, etc.)</t>
  </si>
  <si>
    <t>Parent input (such as through parent surveys, minutes of meetings, etc.)</t>
  </si>
  <si>
    <t>Results of the local needs assessment;</t>
  </si>
  <si>
    <t>The activities that the LEA will carry out with program funds, including the professional development provided to teachers and principals and how these activities will align with challenging state academic content standards, student academic achievement standards, state assessments, and the curricula and programs tied to those standards;</t>
  </si>
  <si>
    <t>How the proposed activities are based on a review of scientifically based research and how the activities will have a substantial, measurable, and positive impact on student academic achievement, and how the activities will be used as part of a broader strategy to eliminate the achievement gap that separates the performance of low-income and minority students from other students;</t>
  </si>
  <si>
    <t>How the LEA will coordinate professional development activities authorized under Title II, Part A with professional development activities provided through other federal, state, and local programs;</t>
  </si>
  <si>
    <t>How the LEA will ensure that the professional development needs of teachers (including teacher mentoring) and principals will be met with the LEA’s Title II, Part A funds;</t>
  </si>
  <si>
    <t>How the LEA will integrate Title II, Part A funds with funds the LEA receives through the Enhancing Education Through Technology program (Title II, Part D) to train teachers to integrate technology into curricula and instruction to improve teaching, learning, and technology literacy;</t>
  </si>
  <si>
    <t>How the LEA’s teachers, paraprofessionals, principals, other relevant school personnel, and parents have collaborated in preparing the local plan and will collaborate in the activities to be undertaken;</t>
  </si>
  <si>
    <t>How the LEA will provide training to enable teachers to (1) teach to the needs of students with different learning styles - particularly students with disabilities, students with special learning needs (including those who are gifted and talented), and those with limited English proficiency; (2) improve student behavior in the classroom;  (3) involve parents in their child’s education; and (4) understand and use data and assessments to improve classroom practice and student learning;</t>
  </si>
  <si>
    <t>How the LEA will use Title II, Part A funds to meet the requirements of Title I, Section 1119 of ESEA for teachers and paraprofessionals.  That section requires an SEA to establish annual measurable objectives for each LEA and school that ensure that all teachers of core academic subjects are highly qualified.  It also includes a requirement for the LEA’s plan to include an annual increase in the percentage of teachers who receive high-quality professional development (Section 2122); and</t>
  </si>
  <si>
    <t>How the LEA will:  (1) target program funds to schools that have the lowest proportion of highly qualified teachers, have the largest average class size, or are identified for school improvement under Title I, Section 1116(b); and (2) comply with Title IX, Section 9501 of ESEA regarding participation of private school teachers.</t>
  </si>
  <si>
    <t>Then, in the spaces that follow, describe how the LEA has met the two planning requirements listed below the assurances.</t>
  </si>
  <si>
    <t>The LEA assures that it will provide to OSSE, at the conclusion of every second fiscal year during which the grant is received, an evaluation including all information required by Section 3121 of the ESEA.</t>
  </si>
  <si>
    <t>Planning Requirement 1</t>
  </si>
  <si>
    <t>Planning Requirement 2</t>
  </si>
  <si>
    <t>Below, describe how the LEA will ensure its accountability for: (1) Meeting the annual measurable achievement objectives (AMAOs); (2) Making adequate yearly progress (AYP) for limited English proficient (LEP) students; and (3) Annually measuring the English proficiency of limited English proficient (LEP) students so that children served by the program develop proficiency in English while meeting state academic content and student academic achievement standards.</t>
  </si>
  <si>
    <t>Below, describe how the LEA will promote parental and community participation in programs for Limited English Proficient students.</t>
  </si>
  <si>
    <t>Validation</t>
  </si>
  <si>
    <t>Required and Optional Title I Set-Asides/Reservations</t>
  </si>
  <si>
    <t>Consolidation of Funds in Schoolwide Program Pool</t>
  </si>
  <si>
    <t>Title I, Part A Planning</t>
  </si>
  <si>
    <t>Consolidated Schoolwide Program: Budget</t>
  </si>
  <si>
    <t>Consolidated Schoolwide Program: Expenditure Summary</t>
  </si>
  <si>
    <t>Title I, Part A (Unconsolidated): Expenditure Summary</t>
  </si>
  <si>
    <t>Title I, Part A (Unconsolidated): Expenditure Details</t>
  </si>
  <si>
    <t>Consolidated Schoolwide Program: Expenditure Details</t>
  </si>
  <si>
    <t>Title I, Part A (Unconsolidated): Budget</t>
  </si>
  <si>
    <t>Title II, Part A (Unconsolidated): Planning</t>
  </si>
  <si>
    <t>Title II, Part A (Unconsolidated): Expenditure Summary</t>
  </si>
  <si>
    <t>Title II, Part A (Unconsolidated): Expenditure Details</t>
  </si>
  <si>
    <t>Title II, Part A (Unconsolidated): Budget</t>
  </si>
  <si>
    <t>Title III, Part A (Unconsolidated): Planning</t>
  </si>
  <si>
    <t>Title III, Part A (Unconsolidated): Expenditure Summary</t>
  </si>
  <si>
    <t>Title III, Part A (Unconsolidated): Expenditure Details</t>
  </si>
  <si>
    <t>Title III, Part A (Unconsolidated): Budget</t>
  </si>
  <si>
    <t>Additional Assurances for DCPS Only</t>
  </si>
  <si>
    <t>Reference: Budget Definitions</t>
  </si>
  <si>
    <t>Estimated Percentage of Title I, Part A (Unconsolidated) Funds Dedicated to These Activities:</t>
  </si>
  <si>
    <t>Involvement of Parents and Community Members</t>
  </si>
  <si>
    <t>Please indicate below which methods are used in order to engage with parents and community members.  Documentation may be requested as evidence.</t>
  </si>
  <si>
    <t>Written parental involvement policy (Required by ESEA, see Title I, Part A, Section 1118)</t>
  </si>
  <si>
    <t>Annual Parent Meeting (Required by ESEA, see Title I, Part A, Section 1118)</t>
  </si>
  <si>
    <t>School/Parent Compact (Required by ESEA, see Title I, Part A, Section 1118)</t>
  </si>
  <si>
    <t>Parent-Teacher conferences</t>
  </si>
  <si>
    <t>Parenting Education Programs</t>
  </si>
  <si>
    <t>Family Language Instruction Programs (to parents of English Language Learners)</t>
  </si>
  <si>
    <t>Parent/Family Resource Center</t>
  </si>
  <si>
    <t>Family Literacy Programs</t>
  </si>
  <si>
    <t xml:space="preserve">The participating schools have met all statutory requirements necessary to operate a schoolwide program (see Section 1114 of the ESEA, which is available at http://www.ed.gov/policy/elsec/leg/esea02/pg2.html#sec1114).  These requirements include: 
   •   Having a poverty rate of at least 40%;
   •   Conducting a comprehensive needs assessment of the entire school to determine the performance of its students in relation to the State’s challenging academic content and achievement standards;
   •   Developing a comprehensive plan that meets all statutory requirements to improve teaching and learning in the school, particularly for those students farthest away from demonstrating proficiency on the State's academic content and achievement standards; and
   •   Annually evaluating the implementation of, and the results achieved by, the schoolwide program and revising the plan as necessary based on the results of the evaluation to ensure continuous improvement of students in the school.
Additional information regarding designing schoolwide programs is available at: www.ed.gov/policy/elsec/guid/designingswpguid.doc. </t>
  </si>
  <si>
    <t xml:space="preserve"> The LEA will submit copies of the schoolwide plans for all schools operating schoolwide programs to OSSE upon request.</t>
  </si>
  <si>
    <t>For LEAs with one or more schools/campuses that will operate as targeted assistance schools, the LEA must list, in the cells below, all schools or campuses that will operate as targeted assistance schools.  Within a public charter school LEA operating as a targeted assistance school, this list must include all campuses of the public charter school LEA.</t>
  </si>
  <si>
    <t>For LEAs with one or more schools/campuses that will operate schoolwide programs, the LEA must list, in the cells below, all schools or campuses that will operate schoolwide programs.  Within a public charter school LEA operating a schoolwide program, this list must include all campuses of the public charter school LEA.</t>
  </si>
  <si>
    <t>Identify all extended learning opportunities offered in schoolwide program schools within the LEA outside of the regular school day, per Section 1114(b)(1)(B)(ii)(II) of ESEA.</t>
  </si>
  <si>
    <t>After school (identify participating grade levels):</t>
  </si>
  <si>
    <t>Summer school (identify participating grade levels):</t>
  </si>
  <si>
    <t>Year-round school calendar (identify participating grade levels):</t>
  </si>
  <si>
    <t>Weekend school sessions (identify participating grade levels):</t>
  </si>
  <si>
    <t>Other (please describe):</t>
  </si>
  <si>
    <t>For LEAs with one or more schools/campuses that will operate schoolwide programs, the LEA must check the boxes below to indicate that it has read and agrees to comply with each assurance.  Then, the LEA must indicate which extended learning opportunities are offered in schoolwide program schools.</t>
  </si>
  <si>
    <t>The LEA assures that Title I, Part A funds are targeted only to Title I, Part A eligible students.  Eligible children in targeted assistance schools must include students who are failing or most at risk of failing to meet state standards.  Other eligible children include: students with limited English proficiency; students who have participated in Head Start, Even Start or Early Reading First programs in the last two years; neglected and delinquent students; and homeless students.</t>
  </si>
  <si>
    <t>Please describe  how the LEA will identify, for targeted Title I assistance, eligible children who are failing, or most at risk of failing, to meet the District of Columbia’s challenging student academic achievement standards on the basis of multiple, educationally related, objective criteria established by the LEA.</t>
  </si>
  <si>
    <t>Please indicate how the LEA use Title I, Part A funds to provide additional academic assistance to students in meeting the District of Columbia’s challenging academic content and student academic achievement standards, by checking all of the methods that apply below.  Documentation may be requested to provide evidence of activities.</t>
  </si>
  <si>
    <t>Extended day</t>
  </si>
  <si>
    <t>Classroom pull-out</t>
  </si>
  <si>
    <t>Additional in-class support</t>
  </si>
  <si>
    <t>Summer school</t>
  </si>
  <si>
    <t>Tutoring</t>
  </si>
  <si>
    <t>Additional Assurances Regarding Qualifications of Teachers and Paraprofessionals</t>
  </si>
  <si>
    <t>The LEA assures that Title I paraprofessionals in targeted assistance schools and all instructional paraprofessionals in Title I Schoolwide programs shall possess a high school diploma or GED; and have completed at least two years of study (minimum of 48 semester hours) at an accredited institution of higher education, or obtained an associate's (or higher) degree; or passed the ParaPro assessment with a minimum score of 461.</t>
  </si>
  <si>
    <r>
      <t xml:space="preserve">The LEA will submit an annual report demonstrating its compliance with the requirement to maintain fiscal effort according to Section 9521 of the Elementary and Secondary Education Act.  The final version of this report will be submitted to OSSE by </t>
    </r>
    <r>
      <rPr>
        <b/>
        <u/>
        <sz val="10"/>
        <rFont val="Calibri"/>
        <family val="2"/>
      </rPr>
      <t>no later than the first of February each year</t>
    </r>
    <r>
      <rPr>
        <sz val="10"/>
        <rFont val="Calibri"/>
        <family val="2"/>
      </rPr>
      <t xml:space="preserve"> to compare local expenditures from the preceding fiscal year to local expenditures from the second preceding fiscal year, as described in the U.S. Department of Education's Non-Regulatory Guidance on Title I Fiscal Issues.  For example, by February 1, 2011, the LEA will submit a report comparing DC FY10 and DC FY09.</t>
    </r>
  </si>
  <si>
    <t>For each required or optional set-aside or reservation listed below, the LEA must provide a summary of plans for the use of the set-aside/reservation, as applicable.                                                                                    Under no circumstances may any of the set-asides or reservations listed below be consolidated within schoolwide programs at the school level; all must be tracked and reported separately.</t>
  </si>
  <si>
    <r>
      <rPr>
        <b/>
        <u/>
        <sz val="10"/>
        <rFont val="Calibri"/>
        <family val="2"/>
      </rPr>
      <t>For LEAs receiving over $500,000 of Title I, Part A funds</t>
    </r>
    <r>
      <rPr>
        <sz val="10"/>
        <rFont val="Calibri"/>
        <family val="2"/>
      </rPr>
      <t>: The LEA must use no less than 1% of its Title I, Part A allocation to conduct parental involvement activities under Section 1118 of the ESEA.  Parents of children receiving Title I services must be involved in decisions regarding how these parental involvement funds will be used.  For DCPS, no less than 95 percent of the set-aside funds must be distributed to Title I schools.</t>
    </r>
  </si>
  <si>
    <r>
      <t xml:space="preserve">Below, summarize the planned uses of funds set aside to fulfill this requirement.  Details regarding planned expenditures must be separately provided on the Title I, Part A (Unconsolidated): Expenditure Details worksheet (tab 9).  Any response in this section should refer only to the </t>
    </r>
    <r>
      <rPr>
        <i/>
        <sz val="10"/>
        <rFont val="Calibri"/>
        <family val="2"/>
      </rPr>
      <t>required</t>
    </r>
    <r>
      <rPr>
        <sz val="10"/>
        <rFont val="Calibri"/>
        <family val="2"/>
      </rPr>
      <t xml:space="preserve"> amount the LEA will spend on parental involvement activities; optional/additional expenditures on parental involvement activities are not considered a set-aside and should be summarized on the Title I, Part A (Unconsolidated): Expenditure Summary and/or Consolidated Schoolwide Program: Expenditure Summary worksheets (tabs 5 and 8).</t>
    </r>
  </si>
  <si>
    <t>Amount of Required Parental Involvement Set-Aside (automatically populates):</t>
  </si>
  <si>
    <r>
      <rPr>
        <b/>
        <u/>
        <sz val="10"/>
        <rFont val="Calibri"/>
        <family val="2"/>
      </rPr>
      <t>For DCPS only</t>
    </r>
    <r>
      <rPr>
        <sz val="10"/>
        <rFont val="Calibri"/>
        <family val="2"/>
      </rPr>
      <t>: The LEA must reserve funds to provide equitable services to eligible private school students, their teachers, and families in accordance with Section 1120 of the ESEA.</t>
    </r>
  </si>
  <si>
    <r>
      <rPr>
        <b/>
        <u/>
        <sz val="10"/>
        <rFont val="Calibri"/>
        <family val="2"/>
      </rPr>
      <t>For DCPS only</t>
    </r>
    <r>
      <rPr>
        <sz val="10"/>
        <rFont val="Calibri"/>
        <family val="2"/>
      </rPr>
      <t>: The LEA must reserve a necessary and reasonable amount of funds to provide comparable services to homeless children who do not attend Title I, Part A schools, including providing educationally related support services to children in shelters and other locations where children may live.</t>
    </r>
  </si>
  <si>
    <r>
      <rPr>
        <b/>
        <u/>
        <sz val="10"/>
        <rFont val="Calibri"/>
        <family val="2"/>
      </rPr>
      <t>For DCPS only</t>
    </r>
    <r>
      <rPr>
        <sz val="10"/>
        <rFont val="Calibri"/>
        <family val="2"/>
      </rPr>
      <t>: The LEA must reserve a necessary and reasonable amount of funds to provide comparable services to children in local institutions for neglected children, and, if appropriate, to children in local institutions for delinquent children, and to neglected or delinquent children in community day programs.</t>
    </r>
  </si>
  <si>
    <r>
      <rPr>
        <b/>
        <u/>
        <sz val="10"/>
        <rFont val="Calibri"/>
        <family val="2"/>
      </rPr>
      <t>Optional for all LEAs</t>
    </r>
    <r>
      <rPr>
        <sz val="10"/>
        <rFont val="Calibri"/>
        <family val="2"/>
      </rPr>
      <t>: The LEA may reserve funds “off-the-top” (for district-level activities) for certain permissible activities that are consistent with this application and allowable uses under the Title I, Part A statute and associated regulations.  (For DCPS, if this option is exercised, the LEA must reserve a proportional amount of the total to provide services for private schools.)</t>
    </r>
  </si>
  <si>
    <t xml:space="preserve">Below, summarize the planned uses of funds set aside to fulfill this requirement.  Details regarding planned expenditures must be separately provided on the Title I, Part A (Unconsolidated): Expenditure Details worksheet (tab 9).  </t>
  </si>
  <si>
    <t xml:space="preserve">Below, summarize the planned uses of funds reserved to fulfill this requirement.  Details regarding planned expenditures must be separately provided on the Title I, Part A (Unconsolidated): Expenditure Details worksheet (tab 9).  </t>
  </si>
  <si>
    <t xml:space="preserve">Below, summarize the planned uses of funds set aside for this purpose.  Details regarding planned expenditures must be separately provided on the Title I, Part A (Unconsolidated): Expenditure Details worksheet (tab 9). </t>
  </si>
  <si>
    <t xml:space="preserve">Below, summarize the planned uses of funds reserved for this purpose.  Details regarding planned expenditures must be separately provided on the Title I, Part A (Unconsolidated): Expenditure Details worksheet (tab 9).  </t>
  </si>
  <si>
    <t xml:space="preserve"> Title I Equitable Services Reservation</t>
  </si>
  <si>
    <r>
      <rPr>
        <b/>
        <u/>
        <sz val="10"/>
        <rFont val="Calibri"/>
        <family val="2"/>
      </rPr>
      <t>Optional for all LEAs</t>
    </r>
    <r>
      <rPr>
        <sz val="10"/>
        <rFont val="Calibri"/>
        <family val="2"/>
      </rPr>
      <t>: The LEA may use a necessary and reasonable amount from its Title I, Part A allocation for costs associated with the administration of the grant program.  OSSE will closely scrutinize administrative costs in excess of 10%.</t>
    </r>
  </si>
  <si>
    <t>If no schools in the LEA operate schoolwide programs or if no schoolwide program schools will consolidate Title I funds with funds from any other source/s, skip this section.</t>
  </si>
  <si>
    <t>If schools in the LEA operate schoolwide programs and will consolidate funds, please indicate which of the following programs will be consolidated in a Consolidated Schoolwide Program pool of funds by listing the exact dollar amount to be consolidated from each grant program below.  The maximum amount that may be included in the Consolidated Schoolwide Program pool of funds from Title I, Part A is equal to the difference between the LEA's Title I, Part A allocation and the total of all set-asides and reservations (shown below).  For DCPS, the maximum available for consolidation shown below must be reduced by the amount of funds that will be distributed to Title I Targeted Assistance Schools.</t>
  </si>
  <si>
    <t>For LEAs with one or more schools/campuses that will operate as targeted assistance schools, the LEA must check the boxes below to indicate that it has read and agrees to comply with each assurance.  Then, the LEA must indicate which type/s of additional academic assistance will be provided to eligible students in the targeted assistance school/s.</t>
  </si>
  <si>
    <t>Briefly describe how the school/campus will use effective methods and research-based instructional strategies that strengthen the core academic program of the school/campus and help provide an accelerated, high-quality curriculum to participating Title I, Part A students to enable them to meet the state’s challenging academic achievement standards.</t>
  </si>
  <si>
    <r>
      <rPr>
        <b/>
        <sz val="10"/>
        <rFont val="Calibri"/>
        <family val="2"/>
      </rPr>
      <t>Providing assistance to parents</t>
    </r>
    <r>
      <rPr>
        <sz val="10"/>
        <rFont val="Calibri"/>
        <family val="2"/>
      </rPr>
      <t>: How does the LEA provide information on state standards and assessments and information about the Title I program?</t>
    </r>
  </si>
  <si>
    <r>
      <rPr>
        <b/>
        <sz val="10"/>
        <rFont val="Calibri"/>
        <family val="2"/>
      </rPr>
      <t>Materials and training</t>
    </r>
    <r>
      <rPr>
        <sz val="10"/>
        <rFont val="Calibri"/>
        <family val="2"/>
      </rPr>
      <t xml:space="preserve">: What types of materials and training does the LEA provide to help parents work with their children to improve student achievement? </t>
    </r>
  </si>
  <si>
    <r>
      <rPr>
        <b/>
        <sz val="10"/>
        <rFont val="Calibri"/>
        <family val="2"/>
      </rPr>
      <t>Educating educators</t>
    </r>
    <r>
      <rPr>
        <sz val="10"/>
        <rFont val="Calibri"/>
        <family val="2"/>
      </rPr>
      <t>: How does the LEA ensure that educators understand the importance of communicating and working with parents to build ties with the school?</t>
    </r>
  </si>
  <si>
    <r>
      <rPr>
        <b/>
        <sz val="10"/>
        <rFont val="Calibri"/>
        <family val="2"/>
      </rPr>
      <t>Coordinating with early learning programs</t>
    </r>
    <r>
      <rPr>
        <sz val="10"/>
        <rFont val="Calibri"/>
        <family val="2"/>
      </rPr>
      <t>: How does the LEA coordinate parent involvement programs from early learning programs to encourage parent participation?</t>
    </r>
  </si>
  <si>
    <r>
      <rPr>
        <b/>
        <sz val="10"/>
        <rFont val="Calibri"/>
        <family val="2"/>
      </rPr>
      <t>Understandable communication</t>
    </r>
    <r>
      <rPr>
        <sz val="10"/>
        <rFont val="Calibri"/>
        <family val="2"/>
      </rPr>
      <t>: How does the school ensure that communications to parents about the school, parent programs, meetings, and other activities are sent to parents in a format and language that the parents can understand?</t>
    </r>
  </si>
  <si>
    <r>
      <rPr>
        <b/>
        <sz val="10"/>
        <rFont val="Calibri"/>
        <family val="2"/>
      </rPr>
      <t>Other reasonable support</t>
    </r>
    <r>
      <rPr>
        <sz val="10"/>
        <rFont val="Calibri"/>
        <family val="2"/>
      </rPr>
      <t xml:space="preserve">: How does the school support other reasonable parent requests for involvement? </t>
    </r>
  </si>
  <si>
    <r>
      <t xml:space="preserve">The LEA, if it has not met the Highly Qualified annual measurable objectives for 3 consecutive years and also has failed to make Adequate Yearly Progress (under Section 1111) for that same time period, must also enter into an agreement on the use of Title II Part A funds that incorporate strategies and activities that are based on scientific research.  The LEA must submit the Agreement </t>
    </r>
    <r>
      <rPr>
        <b/>
        <u/>
        <sz val="10"/>
        <rFont val="Calibri"/>
        <family val="2"/>
      </rPr>
      <t>at the time of submission of the Consolidated Application</t>
    </r>
    <r>
      <rPr>
        <sz val="10"/>
        <rFont val="Calibri"/>
        <family val="2"/>
      </rPr>
      <t xml:space="preserve"> to receive approval from OSSE for the plan.</t>
    </r>
  </si>
  <si>
    <t>Home visits</t>
  </si>
  <si>
    <t>NON SETASIDE</t>
  </si>
  <si>
    <t>Miscellaneous</t>
  </si>
  <si>
    <r>
      <t xml:space="preserve">ADMINISTRATIVE COSTS
</t>
    </r>
    <r>
      <rPr>
        <sz val="10"/>
        <rFont val="Calibri"/>
        <family val="2"/>
      </rPr>
      <t xml:space="preserve">The activities concerned with handling the overall administrative responsibilities associated with a grant program.
</t>
    </r>
  </si>
  <si>
    <t>The LEA assures that it has developed a local plan in accordance with Section 3116 of the Elementary and Secondary Education Act.</t>
  </si>
  <si>
    <r>
      <t xml:space="preserve">IMPORTANT NOTE: The examples in this table are provided only as a generic guide of the general scope of potential expenditures and have no relation to determinations of allowability for any particular federal grant program.  Indeed, some entire categories may represent unallowable activities for some grant programs.  Subgrantees should pay close attention to the </t>
    </r>
    <r>
      <rPr>
        <b/>
        <sz val="10"/>
        <rFont val="Calibri"/>
        <family val="2"/>
      </rPr>
      <t>definitions</t>
    </r>
    <r>
      <rPr>
        <sz val="10"/>
        <rFont val="Calibri"/>
        <family val="2"/>
      </rPr>
      <t xml:space="preserve"> provided in column B in order to determine the appropriate categorization of expenditures.</t>
    </r>
  </si>
  <si>
    <r>
      <t xml:space="preserve">INSTRUCTION
</t>
    </r>
    <r>
      <rPr>
        <sz val="10"/>
        <rFont val="Calibri"/>
        <family val="2"/>
      </rPr>
      <t>The direct instructional interaction between teachers and students. This instruction may be provided to students in a school classroom, in an alternate location (i.e.: home or hospital), or in other learning situations, including those involving co-curricular activities. The activities of teacher aides or classroom assistants of any type (i.e.: clerks, graders, teaching machines) who assist in the instructional process are also in this category.</t>
    </r>
  </si>
  <si>
    <t>General Supplies, Energy, Books, Library Books, Periodicals, Testing Materials</t>
  </si>
  <si>
    <t xml:space="preserve">Below, summarize the planned uses of funds for these activities.  Details regarding planned expenditures must be separately provided on the Consolidated Schoolwide Program: Expenditure Details worksheet (tab 6).  </t>
  </si>
  <si>
    <t xml:space="preserve">Below, summarize the planned uses of funds for these activities.  Details regarding planned expenditures must be separately provided on the Title I, Part A (Unconsolidated): Expenditure Details worksheet (tab 9).  </t>
  </si>
  <si>
    <t xml:space="preserve">Below, summarize the planned uses of funds for these activities.  Details regarding planned expenditures must be separately provided on the Title II, Part A (Unconsolidated): Expenditure Details worksheet (tab 13).  </t>
  </si>
  <si>
    <t xml:space="preserve">Below, summarize the planned uses of funds for these activities.  Details regarding planned expenditures must be separately provided on the Title III, Part A (Unconsolidated): Expenditure Details worksheet (tab 17).  </t>
  </si>
  <si>
    <t>All allowable uses of Title II, Part A funds are outlined in Section 2123 of the Elementary and Secondary Education Act.  Below, provide summary information regarding the LEA's planned uses of funds.  All categories are of optional, authorized activities.  Therefore, the LEA need not complete all sections, depending on its planned uses of funds.  Costs for administering the grant may fall in any (one of more) of the categories; OSSE will closely scrutinize plans to spend more than 5% of funds for administration (which OSSE will review on the budget worksheet).</t>
  </si>
  <si>
    <t>Below, for each of the six (6) budget categories, the LEA must provide a full list of all planned expenditures from this source of funds.                                                                                                                                                                       The total of all expenditures in this section must match the amount available from this source of funds according to Worksheet (tab) 1, minus any Title III, Part A funds that are consolidated.</t>
  </si>
  <si>
    <t>Below, for each of the six (6) budget categories, the LEA must provide a full list of all planned expenditures from the Consolidated Schoolwide Program pool of funds.                                                                                                                                                                       The total of all expenditures in this section must match the total amount being consolidated from all sources of funds (as shown on worksheet (tab) 3).</t>
  </si>
  <si>
    <t>For each of the assurances listed below, check the gray box to indicate that the Local Educational Agency has read and agrees to comply with the assurance.  If the LEA is applying for Title III, Part A funds, this section is required, unless all funds from Title III, Part A are consolidated in a Consolidated Schoolwide Program pool of funds.</t>
  </si>
  <si>
    <t>Detailed Planned Expenditures from Consolidated Schoolwide Program Funds</t>
  </si>
  <si>
    <t>Validation of Application's Readiness for Submission</t>
  </si>
  <si>
    <r>
      <rPr>
        <b/>
        <u/>
        <sz val="16"/>
        <color indexed="9"/>
        <rFont val="Calibri"/>
        <family val="2"/>
      </rPr>
      <t>Part 1</t>
    </r>
    <r>
      <rPr>
        <b/>
        <sz val="16"/>
        <color indexed="9"/>
        <rFont val="Calibri"/>
        <family val="2"/>
      </rPr>
      <t>: Validation Summary</t>
    </r>
  </si>
  <si>
    <r>
      <rPr>
        <b/>
        <u/>
        <sz val="16"/>
        <color indexed="9"/>
        <rFont val="Calibri"/>
        <family val="2"/>
      </rPr>
      <t>Part 2</t>
    </r>
    <r>
      <rPr>
        <b/>
        <sz val="16"/>
        <color indexed="9"/>
        <rFont val="Calibri"/>
        <family val="2"/>
      </rPr>
      <t>: Item-by-Item Validation</t>
    </r>
  </si>
  <si>
    <t>Required Component</t>
  </si>
  <si>
    <t>Validated?</t>
  </si>
  <si>
    <t>Steps Required for the Application to be Validated</t>
  </si>
  <si>
    <t>Applicant Information and Certification (Worksheet/Tab 1)</t>
  </si>
  <si>
    <t>Legal name of LEA provided</t>
  </si>
  <si>
    <t>Mailing address of LEA provided</t>
  </si>
  <si>
    <t>Main telephone number of LEA provided</t>
  </si>
  <si>
    <t>Name of primary contact provided</t>
  </si>
  <si>
    <t>Title of primary contact provided</t>
  </si>
  <si>
    <t>Email address of primary contact provided</t>
  </si>
  <si>
    <t>Telephone number of primary contact provided</t>
  </si>
  <si>
    <t>Schedule for reimbursement is provided</t>
  </si>
  <si>
    <t>Consolidation of Funds in Schoolwide Program Pool (Worksheet/Tab 3)</t>
  </si>
  <si>
    <t>Title I, Part A Planning (Worksheet/Tab 4)</t>
  </si>
  <si>
    <t>Will any of the LEA's schoolwide program schools consolidate funds? (select "Yes" or "No")</t>
  </si>
  <si>
    <t>Name of Local Educational Agency</t>
  </si>
  <si>
    <t>Academy for Learning Through the Arts (ALTA) Public Charter School</t>
  </si>
  <si>
    <t>Achievement Preparatory Academy Public Charter School</t>
  </si>
  <si>
    <t>AppleTree Early Learning Public Charter School</t>
  </si>
  <si>
    <t>Arts and Technology Public Charter School</t>
  </si>
  <si>
    <t>Booker T. Washington Public Charter School</t>
  </si>
  <si>
    <t>Bridges Public Charter School</t>
  </si>
  <si>
    <t>Capital City Public Charter School</t>
  </si>
  <si>
    <t>Carlos Rosario Public Charter School</t>
  </si>
  <si>
    <t>Center City Public Charter School</t>
  </si>
  <si>
    <t>Cesar Chavez Public Charter School</t>
  </si>
  <si>
    <t>Children's Studio Public Charter School</t>
  </si>
  <si>
    <t>City Collegiate Public Charter School</t>
  </si>
  <si>
    <t>Community Academy Public Charter School</t>
  </si>
  <si>
    <t>DC Bilingual Public Charter School</t>
  </si>
  <si>
    <t>DC Preparatory Public Charter School</t>
  </si>
  <si>
    <t>District of Columbia Public Schools (DCPS)</t>
  </si>
  <si>
    <t>E.L. Haynes Public Charter School</t>
  </si>
  <si>
    <t>Eagle Academy Public Charter School</t>
  </si>
  <si>
    <t>Early Childhood Academy Public Charter School</t>
  </si>
  <si>
    <t>Education Strengthens Families (ESF) Public Charter School</t>
  </si>
  <si>
    <t>Elsie Whitlow Stokes Public Charter School</t>
  </si>
  <si>
    <t>Excel Academy Public Charter School</t>
  </si>
  <si>
    <t>Friendship Public Charter School</t>
  </si>
  <si>
    <t>Hope Community Public Charter School</t>
  </si>
  <si>
    <t>Hospitality Public Charter School</t>
  </si>
  <si>
    <t>Howard Road Academy Public Charter School</t>
  </si>
  <si>
    <t>Howard University Middle School for Math &amp; Science Public Charter School</t>
  </si>
  <si>
    <t>Hyde Leadership Academy Public Charter School</t>
  </si>
  <si>
    <t>Ideal Academy Public Charter School</t>
  </si>
  <si>
    <t>Imagine Southeast Public Charter School</t>
  </si>
  <si>
    <t>Integrated Design &amp; Electronics Academy (IDEA) Public Charter School</t>
  </si>
  <si>
    <t>Kamit Institute for Magnificent  Achievers Public Charter School</t>
  </si>
  <si>
    <t>KIPP DC Public Charter School</t>
  </si>
  <si>
    <t>Latin American Montesori Bilingual (LAMB) Public Charter School</t>
  </si>
  <si>
    <t>LAYC YouthBuild Public Charter School</t>
  </si>
  <si>
    <t>Mary McLeod Bethune Public Charter School</t>
  </si>
  <si>
    <t>Maya Angelou Public Charter School</t>
  </si>
  <si>
    <t>Meridian Public Charter School</t>
  </si>
  <si>
    <t>National Collegiate Preparatory Public Charter School</t>
  </si>
  <si>
    <t>Next Step Public Charter School</t>
  </si>
  <si>
    <t>Nia Community Public Charter School</t>
  </si>
  <si>
    <t>Options Public Charter School</t>
  </si>
  <si>
    <t>Paul Public Charter School</t>
  </si>
  <si>
    <t>Potomac Lighthouse Public Charter School</t>
  </si>
  <si>
    <t>Roots Public Charter School</t>
  </si>
  <si>
    <t>School for Arts in Learning (SAIL) Public Charter School</t>
  </si>
  <si>
    <t>SEED Public Charter School</t>
  </si>
  <si>
    <t>Septima Clark Public Charter School</t>
  </si>
  <si>
    <t>St. Coletta Public Charter School</t>
  </si>
  <si>
    <t>Thea Bowman Public Charter School</t>
  </si>
  <si>
    <t>Thurgood Marshall Academy Public Charter School</t>
  </si>
  <si>
    <t>Tree of Life Public Charter School</t>
  </si>
  <si>
    <t>Two Rivers Public Charter School</t>
  </si>
  <si>
    <t>Washington Latin Public Charter School</t>
  </si>
  <si>
    <t>Washington Math Science &amp; Technology Public Charter School</t>
  </si>
  <si>
    <t>Washington Yu Ying Public Charter School</t>
  </si>
  <si>
    <t>William E. Doar Jr. Public Charter School</t>
  </si>
  <si>
    <t>Young America Works Public Charter School</t>
  </si>
  <si>
    <t>Summary of Planned Expenditures from Consolidated Schoolwide Program Funds (Worksheet/Tab 5)</t>
  </si>
  <si>
    <t>Detailed Expenditures from Consolidated Schoolwide Program Funds (Worksheet/Tab 6)</t>
  </si>
  <si>
    <t>Budget for Consolidated Schoolwide Program Funds (Worksheet/Tab 7)</t>
  </si>
  <si>
    <t>Summary of Planned Expenditures from Title I, Part A (Unconsolidated) Funds (Worksheet/Tab 8)</t>
  </si>
  <si>
    <t>Detailed Expenditures from Title I, Part A (Unconsolidated) Funds (Worksheet/Tab 9)</t>
  </si>
  <si>
    <t>Budget for Title I, Part A (Unconsolidated) Funds (Worksheet/Tab 10)</t>
  </si>
  <si>
    <t>Summary of Planned Expenditures from Title II, Part A (Unconsolidated) Funds (Worksheet/Tab 12)</t>
  </si>
  <si>
    <t>Detailed Expenditures from Title II, Part A (Unconsolidated) Funds (Worksheet/Tab 13)</t>
  </si>
  <si>
    <t>Budget for Title II, Part A (Unconsolidated) Funds (Worksheet/Tab 14)</t>
  </si>
  <si>
    <t>Summary of Planned Expenditures from Title III, Part A (Unconsolidated) Funds (Worksheet/Tab 16)</t>
  </si>
  <si>
    <t>Detailed Expenditures from Title III, Part A (Unconsolidated) Funds (Worksheet/Tab 17)</t>
  </si>
  <si>
    <t>Budget for Title III, Part A (Unconsolidated) Funds (Worksheet/Tab 18)</t>
  </si>
  <si>
    <t>Title III, Part A Planning (Worksheet/Tab 15)</t>
  </si>
  <si>
    <t>Title II, Part A Planning (Worksheet/Tab 11)</t>
  </si>
  <si>
    <t>Equitable Services Assurances</t>
  </si>
  <si>
    <t>Explanation of Equitable Services Calculations</t>
  </si>
  <si>
    <t>Amounts Reserved for Equitable Services</t>
  </si>
  <si>
    <t>Maintenance of Effort Assurances</t>
  </si>
  <si>
    <t>Title I Comparability Assurances</t>
  </si>
  <si>
    <t>Title II, Part A (Unconsolidated) Budget Alignment</t>
  </si>
  <si>
    <t>Title III, Part A (Unconsolidated) Budget Alignment</t>
  </si>
  <si>
    <t>Title I, Part A (Unconsolidated) Budget Alignment</t>
  </si>
  <si>
    <t>Consolidated Schoolwide Program Budget Alignment</t>
  </si>
  <si>
    <t>Administrative Cap</t>
  </si>
  <si>
    <r>
      <t xml:space="preserve">Category 5: Equipment, </t>
    </r>
    <r>
      <rPr>
        <b/>
        <i/>
        <sz val="11"/>
        <rFont val="Calibri"/>
        <family val="2"/>
      </rPr>
      <t>defined as</t>
    </r>
    <r>
      <rPr>
        <b/>
        <sz val="11"/>
        <rFont val="Calibri"/>
        <family val="2"/>
      </rPr>
      <t xml:space="preserve">                                                                                                                                                                                                                                                                                                                                                               "tangible personal property having a useful life of more than one year, not considered a supply, with an acquisition cost of $5,000 or more per unit"</t>
    </r>
  </si>
  <si>
    <t>Explain in detail which strategies, initiatives, and activities summarized on Tab 8 are addressed by specific costs within this budget category.</t>
  </si>
  <si>
    <t>Explain in detail which strategies, initiatives, and activities summarized on Tab 12 are addressed by specific costs within this budget category.</t>
  </si>
  <si>
    <t>Explain in detail which strategies, initiatives, and activities summarized on Tab 16 are addressed by specific costs within this budget category.</t>
  </si>
  <si>
    <t>Explain in detail which strategies, initiatives, and activities summarized on Tab 5 are addressed by specific costs within this budget category.</t>
  </si>
  <si>
    <t>Indication of Consolidation of Funds</t>
  </si>
  <si>
    <t>Title I Amount to be Consolidated</t>
  </si>
  <si>
    <t>Title II Amount to be Consolidated</t>
  </si>
  <si>
    <t>Title III Amount to be Consolidated</t>
  </si>
  <si>
    <t>Required Strategy #1</t>
  </si>
  <si>
    <t>Required Strategy #2</t>
  </si>
  <si>
    <t>Summaries for Additional Strategies</t>
  </si>
  <si>
    <t>Total of all Strategies</t>
  </si>
  <si>
    <t>Additional Assurances Applicable to District of Columbia Public Schools (DCPS) Only (Worksheet/Tab 19)</t>
  </si>
  <si>
    <t>Summaries for Strategies</t>
  </si>
  <si>
    <t xml:space="preserve">Title II Assurances </t>
  </si>
  <si>
    <t>Title III Assurances</t>
  </si>
  <si>
    <t>Title III Planning Requirements</t>
  </si>
  <si>
    <t>Needs Assessment</t>
  </si>
  <si>
    <t>SWP/TAS Program Design</t>
  </si>
  <si>
    <t>Schoolwide Program/s</t>
  </si>
  <si>
    <t>Targeted Assistance School/s</t>
  </si>
  <si>
    <t>Parental Involvement</t>
  </si>
  <si>
    <t>Highly Qualified Requirements</t>
  </si>
  <si>
    <r>
      <t xml:space="preserve">Submit BOTH the completed Excel workbook AND a signed, scanned copy of </t>
    </r>
    <r>
      <rPr>
        <b/>
        <u/>
        <sz val="12"/>
        <color indexed="10"/>
        <rFont val="Calibri"/>
        <family val="2"/>
      </rPr>
      <t>ONLY TAB 1</t>
    </r>
    <r>
      <rPr>
        <b/>
        <sz val="12"/>
        <color indexed="10"/>
        <rFont val="Calibri"/>
        <family val="2"/>
      </rPr>
      <t xml:space="preserve"> to                                                                                    </t>
    </r>
    <r>
      <rPr>
        <b/>
        <i/>
        <u/>
        <sz val="12"/>
        <color indexed="10"/>
        <rFont val="Calibri"/>
        <family val="2"/>
      </rPr>
      <t>CON.APP@DC.GOV</t>
    </r>
    <r>
      <rPr>
        <b/>
        <sz val="12"/>
        <color indexed="10"/>
        <rFont val="Calibri"/>
        <family val="2"/>
      </rPr>
      <t xml:space="preserve"> within the established Phase II timeline.                                                                                                </t>
    </r>
    <r>
      <rPr>
        <b/>
        <i/>
        <sz val="12"/>
        <rFont val="Calibri"/>
        <family val="2"/>
      </rPr>
      <t>OSSE Approval of Phase II is required before reimbursement requests may be submitted.</t>
    </r>
  </si>
  <si>
    <r>
      <t xml:space="preserve">Below, using formulas embedded in this workbook, an attempt is made to "validate" your application's readiness for submission to the OSSE.                                                                                                                                                                                   If any areas are highlighted red, you must make edits in order to prepare the application for submission.  </t>
    </r>
    <r>
      <rPr>
        <b/>
        <i/>
        <u/>
        <sz val="11"/>
        <rFont val="Calibri"/>
        <family val="2"/>
      </rPr>
      <t>OSSE will not accept an application which fails this validation</t>
    </r>
    <r>
      <rPr>
        <b/>
        <i/>
        <sz val="11"/>
        <rFont val="Calibri"/>
        <family val="2"/>
      </rPr>
      <t>.</t>
    </r>
    <r>
      <rPr>
        <b/>
        <sz val="11"/>
        <rFont val="Calibri"/>
        <family val="2"/>
      </rPr>
      <t xml:space="preserve">                                        Successful validation does NOT imply that the application meets all requirements for approval or that the application will be approved.</t>
    </r>
  </si>
  <si>
    <t>Note: Do not include information about Title I required and/or optional set-asides on this worksheet.  Instead, include those summaries on Tab 2.</t>
  </si>
  <si>
    <r>
      <t xml:space="preserve">Below, for each of the six (6) budget categories, the LEA must provide a full list of all planned expenditures from this source of funds.                                                                                                                                                                       The total of all expenditures in this section must match the amount available from this source of funds according to Worksheet (tab) 1, minus any funds that are consolidated.                                                                                                 </t>
    </r>
    <r>
      <rPr>
        <b/>
        <sz val="10"/>
        <rFont val="Calibri"/>
        <family val="2"/>
      </rPr>
      <t>NOTE: INCLUDE DETAILS FOR ALL EXPENDITURES FOR INITIATIVES SUMMARIZED ON BOTH TAB 2 AND TAB 8 ON THIS WORKSHEET.</t>
    </r>
  </si>
  <si>
    <t>Below,  for all unconsolidated, non set-aside Title I, Part A funds (recall, set-aside summaries are provided instead on Tab 2), the LEA must provide summaries of planned uses of funds in categories according to the initiatives/activities the LEA will pay for at least partially with unconsolidated Title I, Part A funds.  For example, if all unconsolidated Title I, Part A funds will be used for salaries for school improvement coaches and costs associated with a tutoring program for the most at-risk students, the LEA should summarize these two initiatives in two sections of this worksheet.  ALL PLANNED EXPENDITURES IN SCHOOLWIDE PROGRAMS MUST ALIGN WITH THE LEA-APPROVED SCHOOLWIDE PLAN/S.  Activities in any Targeted Assistance Schools may be summarized as one separate initiative.</t>
  </si>
  <si>
    <t>Name of Individual Certifying Phase II Application (Board Chairperson or Chancellor only)</t>
  </si>
  <si>
    <t>Title of Individual Certifying Phase II Application (Board Chairperson or Chancellor only)</t>
  </si>
  <si>
    <t>Signature of Individual Certifying Phase II Application</t>
  </si>
  <si>
    <t>Below, for each of the six (6) budget categories, the LEA must provide a full list of all planned expenditures from this source of funds.                                                                                                                                                                       The total of all expenditures in this section must match the amount available from this source of funds according to Worksheet (tab) 1, minus any Title II, Part A funds that are consolidated.</t>
  </si>
  <si>
    <t>Estimated Percentage of Consolidated SWP Funds Dedicated to These Activities:</t>
  </si>
  <si>
    <t>Inspired Teaching Demonstration Public Charter School</t>
  </si>
  <si>
    <t>Mundo Verde Bilingual Public Charter School</t>
  </si>
  <si>
    <t>Richard Wright Public Charter School</t>
  </si>
  <si>
    <t>Shining Stars Montessori Public Charter School</t>
  </si>
  <si>
    <t>Federal Fiscal Year 2012</t>
  </si>
  <si>
    <t>Please indicate, by checking the applicable box below, the schedule that the LEA will follow for Federal Fiscal Year 2012 (July 1, 2012 - September 30, 2014, including the "Tydings" period) for submitting reimbursement requests for all grants included in this application in order to maintain regular drawdowns of federal funds. From among these options, the LEA has the flexibility to choose a schedule that best meets its needs.</t>
  </si>
  <si>
    <t xml:space="preserve">The priority school must develop a plan to implement one or more of the following intervention strategies:
• Evaluate, in-depth, the performance of the current leadership;
• Implement changes in leadership, where appropriate;
• Focus on instructional leadership including the collection of data and feedback mechanisms for continually improving instruction; 
• Partner with a Reward school or obtain a leadership mentor to analyze existing leadership models and develop a revised leadership plan; 
• Provide flexibility in the areas of scheduling, budget, staffing, and curriculum; or
• Other promising strategies that meet this turnaround principle and are sufficient to achieve change and demonstrate progress. </t>
  </si>
  <si>
    <t>School Leadership Intervention Strategy</t>
  </si>
  <si>
    <t>Amount of Required Set-Aside (automatically populates):</t>
  </si>
  <si>
    <t>Amount Set-Aside for School Leadership Intervention:</t>
  </si>
  <si>
    <t>Effective Staffing Practices and Instruction Intervention Strategy</t>
  </si>
  <si>
    <t>Amount Set-Aside for Effective Staffing Practices and Instruction Intervention:</t>
  </si>
  <si>
    <t>Amount Set-Aside for Effective Use of Time Intervention:</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</si>
  <si>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activities to ensure the effectiveness of staffing practices and instruction; optional/additional expenditures for these activities are not considered a set-aside and should be summarized on the Title I, Part A (Unconsolidated): Expenditure Summary and/or Consolidated Schoolwide Program: Expenditure Summary worksheets (tabs 5 and 8).</t>
  </si>
  <si>
    <t>Effective Use of Time Intervention Strategy</t>
  </si>
  <si>
    <t>Curriculum, Assessment, and Intervention System Strategy</t>
  </si>
  <si>
    <t xml:space="preserve">The priority school must implement one or more of the following intervention strategies:
• Implement the CCSS and aligned model curriculum and unit assessments; 
• Implement research-based interventions for all students two or more grade levels behind in ELA or mathematics; or
• Other promising strategies that meet this turnaround principle and are sufficient to achieve change and demonstrate progress. 
</t>
  </si>
  <si>
    <t>Amount Set-Aside for Curriculum, Assessment, and Intervention System Strategy:</t>
  </si>
  <si>
    <t>Effective Use of Data Intervention Strategy</t>
  </si>
  <si>
    <t xml:space="preserve">The priority school must implement  one or more of the following intervention strategies:
• Use data to inform instruction including, where appropriate, the placement of  a full-time data specialist in the school focused on implementing a system for teachers to develop and use common assessment data funded by school-level Title I funds;
• Provide time for collaboration on the use of data to inform instruction; 
• Use formative assessment design and data analysis to improve and differentiate instruction; 
• Build the principal’s capacity to collect and analyze data for improving instruction and the skills necessary to develop a schedule and system for increasing teacher ownership of data analysis for improving instruction; 
• Develop or expand data collection systems to allow for customized, real-time data analysis; or 
• Other promising strategies that meet this turnaround principle and are sufficient to achieve change and demonstrate progress. 
</t>
  </si>
  <si>
    <t>Amount Set-Aside for Effective Use of Data Intervention Strategy:</t>
  </si>
  <si>
    <t>School Climate and Culture Intervention Strategy</t>
  </si>
  <si>
    <t xml:space="preserve">The priority school must implement one or more of the following intervention strategies:
• Place, where appropriate, a climate and culture specialist in the school funded with school-level Title I funds to work with the leadership, staff, and families to develop or adopt a plan for creating a climate conducive to learning and a culture of high expectations;
• Address other non-academic factors that impact student achievement, such as students’ social, emotional, and health needs by way of additional counseling, access to additional ancillary services, or other supports;
• Build capacity for all staff and leadership to implement a comprehensive plan for creating a climate conducive to learning and a culture of high expectations; 
• Use relevant data and to inform appropriate actions for continually improving the climate and culture of the school; or 
• Other promising strategies that meet this turnaround principle and are sufficient to achieve change and demonstrate progress. 
</t>
  </si>
  <si>
    <t>Effective Family and Community Engagement Intervention Strategy</t>
  </si>
  <si>
    <t xml:space="preserve">The priority school must implement one or more of the following intervention strategies:
• Develop or expand functions  of  family and community engagement staff to focus engagement on academics;
• Build capacity for family and community engagement staff designed to increase their skill level in developing academically focused engagement opportunities for families and the community;
• Build capacity around development and implementation of effective, academically-focused family and community engagement, particularly for students with disabilities and ELLs and their families; or 
• Other promising strategies that meet this turnaround principle and are sufficient to achieve change and demonstrate progress. 
</t>
  </si>
  <si>
    <t>Amount Set-Aside for School Climate and Culture Intervention Strategy:</t>
  </si>
  <si>
    <t>Amount Set-Aside for Effective Family and Community Engagement Intervention Strategy:</t>
  </si>
  <si>
    <t xml:space="preserve">Focus schools that are identified as not meeting the needs of students with disabilities must include one or more of the following targeted intervention strategies:
• Align the curriculum to the CCSS;
• Increase collaboration among teachers;
• Improve use of data for differentiating instruction;
• Build capacity for all teachers, particularly for special education teachers to better understand the rigor of the CCSS; or 
• Other promising strategies that differentiate interventions and are sufficient to achieve change and demonstrate progress. 
 </t>
  </si>
  <si>
    <t>Intervention Strategies for Schools Not Meeting the Needs of Students with Disabilities</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</si>
  <si>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meeting the needs of students with disabilities; optional/additional expenditures that are not considered a set-aside and should be summarized on the Title I, Part A (Unconsolidated): Expenditure Summary and/or Consolidated Schoolwide Program: Expenditure Summary worksheets (tabs 5 and 8).</t>
  </si>
  <si>
    <t>Intervention Strategies for Schools Not Meeting the Needs of English Language Learners</t>
  </si>
  <si>
    <t>Intervention Strategies for Schools Not Meeting the Needs of Other Subgroups</t>
  </si>
  <si>
    <t xml:space="preserve">Focus schools identified as not meeting the needs of ELLs must include one or more of the following targeted intervention strategies that:
• Include research-based strategies for teaching academic English;
• Improve the use of native language support;
• Scaffold learning to meet the rigorous requirements of the CCSS;
• Build capacity for all teachers to learn strategies for meeting the content learning needs of ELLs and to better understand the rigorous requirements of the CCSS; or 
• Other promising strategies that differentiate interventions and are sufficient to achieve change and demonstrate progress. 
</t>
  </si>
  <si>
    <t>Is the LEA Identified as an Intervention School? (select "Yes" or "No")</t>
  </si>
  <si>
    <t>Differentiated Interventions and Supports for Other Title I Schools</t>
  </si>
  <si>
    <t>Amount Set-Aside for Schools not meeting AMOs for two consecutive years:</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</si>
  <si>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meeting the needs of students who have not met AMOs; optional/additional expenditures that are not considered a set-aside and should be summarized on the Title I, Part A (Unconsolidated): Expenditure Summary and/or Consolidated Schoolwide Program: Expenditure Summary worksheets (tabs 5 and 8).</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</si>
  <si>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school leadership evaluation activities; optional/additional expenditures that are not considered a set-aside and should be summarized on the Title I, Part A (Unconsolidated): Expenditure Summary and/or Consolidated Schoolwide Program: Expenditure Summary worksheets.</t>
  </si>
  <si>
    <t>The priority school must  implement one or more of the following intervention strategies:
• Review and retain effective staff that have the ability to be effective in a turnaround effort;
• Develop a recruitment plan that screens out ineffective teachers from transferring into these schools;
• Ensure that all administrators in the school have the skills to effectively evaluate instruction and give quality feedback to teachers;
• Develop an overall recruitment and retention plan for the principal and leadership team; 
• Provide additional instruction time for all teachers focused on effective instruction; 
• Partner with outside master educators to conduct observations as part of a comprehensive evaluation process that supports reliable observations; or 
• Other promising strategies that meet this turnaround principle and are sufficient to achieve change and demonstrate progress.</t>
  </si>
  <si>
    <t>2a</t>
  </si>
  <si>
    <t>2b</t>
  </si>
  <si>
    <t>Amount Set-Aside for Disabled Subgroup:</t>
  </si>
  <si>
    <t>Amount Set-Aside for ELL Subgroup:</t>
  </si>
  <si>
    <t>Amount Set-Aside for Other Subgroups:</t>
  </si>
  <si>
    <r>
      <t xml:space="preserve">Schools identified by the DC OSSE as focus schools will be required to plan for selected models and interventions, and begin implementation of interventions and supports no later than 60 days after the start of the school year.                                                                                                                                                                                                                                                                                                                                                                                                                                                                                                                                                                                                                                                                                   
</t>
    </r>
    <r>
      <rPr>
        <b/>
        <i/>
        <sz val="10"/>
        <rFont val="Calibri"/>
        <family val="2"/>
      </rPr>
      <t>Differentiated Interventions for Subgroups:</t>
    </r>
    <r>
      <rPr>
        <sz val="10"/>
        <rFont val="Calibri"/>
        <family val="2"/>
      </rPr>
      <t xml:space="preserve">
Focus schools that are identified as not meeting the needs of students based on subgroup performance will be required to implement intervention strategies similar to those research-based differentiated interventions as Priority Schools, but which are explicitly focused on the subgroups that placed the school in focus status. </t>
    </r>
  </si>
  <si>
    <t>All schools that fail to meet the same AMO for two consecutive years and that are not already identified as priority or focus schools will be identified as schools requiring additional support. These schools will be required to identify and respond to the needs of their students. If a non-priority and non-focus school misses its performance on the same AMO for two consecutive years, the LEA will be required to expand their current Title I plan to describe the interventions and supports that address all students and/or subgroup(s) that missed the school AMOs. Additionally, as part of its Title I plan and Title I grant application, LEAs with schools that do not meet the same AMOs for two consecutive years must describe how the LEA will identify needs based on the school AMOs that were missed, select priority objectives and interventions aligned to those needs, plan action steps to address deficiencies related to those objectives, implement those action steps, and evaluate progress. 
                                                                                                                                                                                                                                                                                                                                                                                    The LEA will be required to use Title I funds to implement interventions and supports necessary to improve student achievement on the school AMOs that were missed. Interventions and supports to address deficiencies in school-based practices may include one or more of the following options:
• Training to improve the quality of school leadership;
• High-quality curriculum aligned to the CCSS; 
• Expansion of learning time before, during and after school to supplement instruction to school-selected students provided by external providers, schools, or LEAs;
• Assistance in the analysis and use of data; 
• Supplemental research-based and job-embedded professional development; or 
• Any other activity that is specifically required by an action step included in the Title I plan of Title I grant application in support of an objective.</t>
  </si>
  <si>
    <t>Intervention Strategies for Identified Schools</t>
  </si>
  <si>
    <t xml:space="preserve">Priority schools will be required to implement all seven turnaround principles using intervention strategies that are sufficient to achieve change and demonstrate progress.  Please provide a brief narrative description of the strategy or strategies within each principle that you will implement. Then detail the amount of funds that will be spent toward each strategy and how funds will be used. You may choose how you allocate Title I funding among the strategies, but you must implement strategies within all seven principles.
</t>
  </si>
  <si>
    <t xml:space="preserve">The priority school must implement one or more of the following intervention strategies:
• Increase instructional time for students who need more time to meet the rigorous goals of the CCSS;
• Provide additional time focused on learning strategies for effectively working with students with disabilities or ELLs;
• Provide additional time focused on teachers developing and using common assessment data to inform and differentiate instruction;
• Focus on effective use of instructional time, including effective transitions and teacher collaborations; or 
• Other promising strategies that meet this turnaround principle and are sufficient to achieve change and demonstrate progress. 
                                                                                                                                                                                                                                                                                                                                                                                   While the form of these interventions may include extended learning time during the school day, it may also include extended learning opportunities in the form of either before-school or after-school programs consistent with the CCSS. 
</t>
  </si>
  <si>
    <t xml:space="preserve">To address the needs of other subgroups of students, the LEA must include one or more of the following intervention strategies:
• Build capacity for school leaders focused on instructional leadership including the collection of data and feedback mechanisms for continually improving instruction;
• Provide time for collaboration on the use of data to inform instruction; 
• Use formative assessment design and data analysis to improve and differentiate instruction; 
• Address other non-academic factors that impact student achievement, such as students’ social, emotional, and health needs by way of additional counseling, access to additional ancillary services, or other supports;
• Build capacity for all staff on the effective support of students with disabilities and ELLs and their families; 
• Build capacity for all staff on the development and implementation of effective, academically-focused family and community engagement; 
• Extend learning time before, during, and after school that is aligned to CCSS; or 
• Other promising strategies that address the areas of deficiency that placed the school in focus status and are sufficient to achieve change and demonstrate progress. 
</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</si>
  <si>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meeting the needs of English Language Learners; optional/additional expenditures for these activities are not considered a set-aside and should be summarized on the Title I, Part A (Unconsolidated): Expenditure Summary and/or Consolidated Schoolwide Program: Expenditure Summary worksheets (tabs 5 and 8).</t>
  </si>
  <si>
    <r>
      <rPr>
        <b/>
        <u/>
        <sz val="10"/>
        <rFont val="Calibri"/>
        <family val="2"/>
      </rPr>
      <t>Optional for all LEAs</t>
    </r>
    <r>
      <rPr>
        <sz val="10"/>
        <rFont val="Calibri"/>
        <family val="2"/>
      </rPr>
      <t>: The LEA may use up to 5% of its Title I, Part A allocation to provide financial incentives and rewards to teachers who serve students in Title I schools identified as priority, focus, and/or struggling to meet AMOs for the purpose of attracting and retaining qualified and effective teachers.</t>
    </r>
  </si>
  <si>
    <t>Needs Assessment(s) and Planning for Title I, Part A</t>
  </si>
  <si>
    <t xml:space="preserve">Follow the directions below to describe needs assessment(s) conducted by the LEA in planning for the use of Title I, Part A funds.                                                                                                                                                                        Then, follow the subsequent instructions related to Title I, Part A program design, parental involvement, and requirements for highly qualified teachers and paraprofessionals.                                                                                                            If the LEA is applying for Title I, Part A funds, this section is required.    </t>
  </si>
  <si>
    <t>Program Design: Schoolwide Program(s)</t>
  </si>
  <si>
    <t>Program Design: Targeted Assistance School(s)</t>
  </si>
  <si>
    <r>
      <t xml:space="preserve">The LEA, if it has failed to make progress toward meeting the Highly Qualified annual measurable objectives for 2 consecutive years, will submit, </t>
    </r>
    <r>
      <rPr>
        <b/>
        <u/>
        <sz val="10"/>
        <rFont val="Calibri"/>
        <family val="2"/>
      </rPr>
      <t>at the time of submission of the Consolidated Application</t>
    </r>
    <r>
      <rPr>
        <sz val="10"/>
        <rFont val="Calibri"/>
        <family val="2"/>
      </rPr>
      <t>,</t>
    </r>
    <r>
      <rPr>
        <b/>
        <sz val="10"/>
        <rFont val="Calibri"/>
        <family val="2"/>
      </rPr>
      <t xml:space="preserve"> </t>
    </r>
    <r>
      <rPr>
        <sz val="10"/>
        <rFont val="Calibri"/>
        <family val="2"/>
      </rPr>
      <t xml:space="preserve">the LEA HQ Improvement Plan for the attainment of 100% highly-qualified status.  </t>
    </r>
  </si>
  <si>
    <t>Needs Assessment(s) and Planning for Title II, Part A</t>
  </si>
  <si>
    <t>Follow the directions below to describe assessment(s) of needs conducted by the LEA in planning for the use of Title II, Part A funds.  If the LEA is applying for Title II, Part A funds, this section is required, unless all funds from Title II, Part A are consolidated in a Consolidated Schoolwide Program pool of funds.</t>
  </si>
  <si>
    <t>Needs Assessment(s) and Planning for Title III, Part A</t>
  </si>
  <si>
    <t>Intervention Strategies for Identified Schools (Worksheet/Tab 2a)</t>
  </si>
  <si>
    <t>Required and Optional Title I Set-Asides/Reservations (Worksheet/Tab 2b)</t>
  </si>
  <si>
    <t>Indication of Intervention School Status</t>
  </si>
  <si>
    <t>Total Set Aside for Interventions Matches Required Amount</t>
  </si>
  <si>
    <t>Schools Not Meeting the Needs of Students with Disabilities</t>
  </si>
  <si>
    <t>Schools Not Meeting the Needs of English Language Learners</t>
  </si>
  <si>
    <t>Schools Not Meeting the Needs of Other Subgroups</t>
  </si>
  <si>
    <t>Schools Not Meeting AMOs for Two Consecutive Years</t>
  </si>
  <si>
    <t>Basis DC Public Charter School</t>
  </si>
  <si>
    <t>DC Scholars Public Charter School</t>
  </si>
  <si>
    <t>Creative Minds Public Charter School</t>
  </si>
  <si>
    <r>
      <t xml:space="preserve">TOTAL OF ALL TURNAROUND PRINCIPLES AND SELECTED STRATEGIES OF INTERVENTION FROM THE LEA'S TITLE I, PART A ALLOCATION: (For LEAs electing to consolidate funds within SWP schools, this amount can NOT be consolidated.) </t>
    </r>
    <r>
      <rPr>
        <b/>
        <i/>
        <sz val="10"/>
        <rFont val="Calibri"/>
        <family val="2"/>
      </rPr>
      <t>NOTE: If this amount matches the required set-aside, the cell will turn green. If it does not match, it will turn red.</t>
    </r>
  </si>
  <si>
    <t>Priority Interventions</t>
  </si>
  <si>
    <t>Focus Interventions</t>
  </si>
  <si>
    <t>Other Supports</t>
  </si>
  <si>
    <t>Before school (identify participating grade levels):</t>
  </si>
  <si>
    <t>Turnaround Principles and Preliminary Plans for Priority Schools</t>
  </si>
  <si>
    <t xml:space="preserve"> Preliminary Plans for Strategies of Intervention for Focus Schools</t>
  </si>
  <si>
    <t xml:space="preserve">Instructions: If your LEA has been identified as having Priority and/or Focus Schools and/or Schools Requiring Additional Support, the LEA must set aside a total of 20% of Title I, Part A funds to use toward interventions and must implement specific interventions as detailed below. Please note that these are preliminary plans. A template requesting more detail and outlining specific strategies will be provided. If you have schools in multiple categories, you will still only set aside a total of 20% of Title I, Part A funds. You may choose how you allocate the 20% set aside among identified schools and among intervention strategies. Based on the status of your schools, please indicate the strategies you will implement below and detail how funds will be used.
</t>
  </si>
  <si>
    <t>This does not apply to any LEAs at this time. Do not complete this section.</t>
  </si>
  <si>
    <t>The Local Educational Agency (LEA) hereby assures the State Education Agency (SEA) that the LEA will:</t>
  </si>
  <si>
    <t>Assurance #1</t>
  </si>
  <si>
    <t>Assurance #2</t>
  </si>
  <si>
    <t>Assurance #3</t>
  </si>
  <si>
    <t>Statewide Accountability Assurances</t>
  </si>
  <si>
    <t>Develop and implement an individualized intervention plan for each school under its jurisdiction that has been identified by OSSE as</t>
  </si>
  <si>
    <t>a focus school;</t>
  </si>
  <si>
    <t>Develop and implement an individualized intervention plan to address all seven (7) turnaround principles in the District’s Waiver, or has adopted a School Improvement Grant model of turnaround, for each school under its jurisdiction that has been identified by OSSE as a priority school;</t>
  </si>
  <si>
    <t>Assurance #4</t>
  </si>
  <si>
    <t>Annually administer the DC CAS and/or DC CAS Alt (as applicable) to its students in conformance with OSSE test integrity protocols;</t>
  </si>
  <si>
    <t>Report to OSSE biannually on its progress toward milestones in implementation of intervention plans for focus and priority schools in a format as requested;</t>
  </si>
  <si>
    <t>Assurance #5</t>
  </si>
  <si>
    <t>Assurance #6</t>
  </si>
  <si>
    <r>
      <t xml:space="preserve">Implement a teacher and leader evaluation system meets the requirements of the statewide guidelines developed by OSSE </t>
    </r>
    <r>
      <rPr>
        <sz val="10"/>
        <color rgb="FFFF0000"/>
        <rFont val="Calibri"/>
        <family val="2"/>
      </rPr>
      <t>(applicable to DCPS only)</t>
    </r>
    <r>
      <rPr>
        <sz val="10"/>
        <rFont val="Calibri"/>
        <family val="2"/>
      </rPr>
      <t>;</t>
    </r>
  </si>
  <si>
    <r>
      <t>Develop, pilot, and implement a teacher and leader evaluation system that: 1) will be used for continual improvement of instruction; 2) meaningfully evaluates performance using at least three differentiated performance levels; (3) uses multiple valid measures in determining performance levels, including as a significant factor data on student growth for all students (including English Learners and students with disabilities); (4) evaluates teachers and principals on a regular basis; (5) provides clear, timely, and useful feedback, including feedback that identifies needs and guides professional development; and (6) will be used to inform personnel decisions</t>
    </r>
    <r>
      <rPr>
        <sz val="10"/>
        <color rgb="FFFF0000"/>
        <rFont val="Calibri"/>
        <family val="2"/>
      </rPr>
      <t xml:space="preserve"> (applicable to Charter LEAs)</t>
    </r>
    <r>
      <rPr>
        <sz val="10"/>
        <rFont val="Calibri"/>
        <family val="2"/>
      </rPr>
      <t>;</t>
    </r>
  </si>
  <si>
    <t>Assurance #7</t>
  </si>
  <si>
    <t>Assurance #8</t>
  </si>
  <si>
    <r>
      <t xml:space="preserve">Reserve 20% of its Title I allocations for the purpose of carrying out interventions and supports in schools under its jurisdiction that either 1) have been identified by OSSE as priority and focus schools, or 2) have failed to meet the same Annual Measurable Objective target for two consecutive years </t>
    </r>
    <r>
      <rPr>
        <sz val="10"/>
        <color rgb="FFFF0000"/>
        <rFont val="Calibri"/>
        <family val="2"/>
      </rPr>
      <t>(applicable to LEAs that receive Title I, Part A)</t>
    </r>
    <r>
      <rPr>
        <sz val="10"/>
        <rFont val="Calibri"/>
        <family val="2"/>
      </rPr>
      <t>; and</t>
    </r>
  </si>
  <si>
    <r>
      <t xml:space="preserve">Amend its Title I, Part A plan to include interventions and supports for any school under its jurisdiction that has failed to meet the same Annual Measurable Objective target for two consecutive years </t>
    </r>
    <r>
      <rPr>
        <sz val="10"/>
        <color rgb="FFFF0000"/>
        <rFont val="Calibri"/>
        <family val="2"/>
      </rPr>
      <t>(applicable to LEAs that receive Title I, Part A)</t>
    </r>
    <r>
      <rPr>
        <sz val="10"/>
        <rFont val="Calibri"/>
        <family val="2"/>
      </rPr>
      <t>.</t>
    </r>
  </si>
  <si>
    <t>Statewide Accountability Assurances (Worksheet/Tab 20)</t>
  </si>
  <si>
    <t>Focus School Individualized Intervention Plan Assurance</t>
  </si>
  <si>
    <t>Priority School Individualized Intervention Plan Assurance</t>
  </si>
  <si>
    <t>Biannual Reporting Assurance</t>
  </si>
  <si>
    <t>Testing Administration Assurance</t>
  </si>
  <si>
    <t>Jean Narbonne</t>
  </si>
  <si>
    <t>Christine Madison</t>
  </si>
  <si>
    <t>Jackie Ruffin</t>
  </si>
  <si>
    <t>Stanford Math Coordinator</t>
  </si>
  <si>
    <t>Tamara Wood</t>
  </si>
  <si>
    <t>Joy Buckner</t>
  </si>
  <si>
    <t>Gabrielle Montgomery</t>
  </si>
  <si>
    <t>Math Coach</t>
  </si>
  <si>
    <t>Reading Coach</t>
  </si>
  <si>
    <t>202-832-7370</t>
  </si>
  <si>
    <t>michael.depass@imagineschools.com</t>
  </si>
  <si>
    <t>Michael DePass</t>
  </si>
  <si>
    <t>202-722-4421</t>
  </si>
  <si>
    <t>SAT-10</t>
  </si>
  <si>
    <t>In-house Interventions</t>
  </si>
  <si>
    <t>PK-8</t>
  </si>
  <si>
    <t>Intersession dates (week long content study)</t>
  </si>
  <si>
    <t>K-8</t>
  </si>
  <si>
    <t>TOLSON CAMPUS</t>
  </si>
  <si>
    <t>LAMOND CAMPUS</t>
  </si>
  <si>
    <t>The LEA holds quarterly parent nights to assist parents in understanding the standards asssociated with each grade level and strategies; as well as extention activities to be used at home to enhance student understanding of content.   Parents are also addressed by an academic specialist/coach at each Parent Teacher Organization meeting held monthly at each site.   Each site is also equipped with an Academic Taskforce of 3-5 teachers that update classroom data walls, disseminate semesterly data reports, as well as assist teachers in the creation of student ILP's (Individual Learning Plans).  This learning profile includes qualitative and quantitative data on student progress toward established student goals.  The profile consists of three goals set by (1) the student (social goal-character trait based), (2) the parent (observed need), and (3) the teacher (based on prior year's data).</t>
  </si>
  <si>
    <t>At weekly Professional Learning Communities, and bi-weekly Faculty Connection meetings, the leadership team highlights school-wide benchmarks established for parent communication dates.  Those dates include parent-teacher report card conferences, progress reports, and pre-semester parent meetings with classroom teachers to disseminate unit plans and addressed standards outline.   Each site is equipped with a Parent Satisfaction taskforce of 3-5 teachers who spearhead initiatives to increase parent in-class and in-building presence.  This taskforce disseminates quarterly parent surveys that are shared with staff members during two staff meetings each semester.  Following each session, corrective actions are shared with site specific Parent Teacher Organization officers.</t>
  </si>
  <si>
    <t>Following the dissemination of Home Language Surveys, site based ELL teacher documents the languages used at home in school population.  The school uses this information to have key materials with dates, reports, as well as progress reports and report cards.  In the event that the parent is not literate,  a school official will identify another school/community member who may provide translation services and support to those families.   The LEA has among it's staff members four languages represented that are in our student community: French, Spanish, Kenyan and Ghanian dialect.</t>
  </si>
  <si>
    <t>Parents are encouraged to collaborate with classroom teachers as their primary point of contact for any involvement requests.  School leaders at both sites establish an open-door policy to have needs mets, and are given monthly opportunities to plan with administration.  In the event that the request for support is academic based, the LEA has in place a student referral process where a parent can actively partake in a more comprehensive assessment of student performance.</t>
  </si>
  <si>
    <t>Parents of early learning programs are given a schedule of activities of events and parent workshops at the start of the year to provide parents with an understanding developmental milestones of young learners.  In all classrooms, parents are encouraged to volunteer and are awarded/acknowledged for achieved service hours.   Parents are also provided with weekly newsletters highlighting dates, available  resources, tools and strategies to enhance language competencies in young learners, as well as extension activites.</t>
  </si>
  <si>
    <t>Professional Development Opportunities</t>
  </si>
  <si>
    <t>Hope Community will continue to  research best practices through professional development opportunities for both school leaders and staff.  With a professional development plan including seminars, visits to other schools, as well as collaborating with other Imagine Schools, Hope Community Charter designates 7576.27 to costs associated with traveling to these development opportunites, and 1020.56 for professional development presentation materials to share observations and ideas with non-attenting staff members.</t>
  </si>
  <si>
    <t>James Kemp</t>
  </si>
  <si>
    <t>Early Childhood Coach</t>
  </si>
  <si>
    <t>Parents are provided information on state standards and assessments at the beginning of each academic quarter via parent meetings and unit plans used to alert parents of addressed standards each quarter.   Information on the Title I program is included in the school's handbook given to each registered parent and available year-round in each site's main office. We also conduct an Annual Title I meeting at each campus. This year's meeting was held on September 13, 2012. Topics covered included: No Child Left Behind Act, Adequate Yearly Progress, Description of Imagine Hope's Title I Program &amp; Our Parental Involvement Activity Plan for SY 2012-2013. We also hosted a Curriculum Night on October 4 where parents were given presentations on ELA and Math Common Core Standards.</t>
  </si>
  <si>
    <t>Professional Development Materials</t>
  </si>
  <si>
    <t>Costs for Attending Professional Development Conferences</t>
  </si>
  <si>
    <t>Curriculum Specialist-Reading</t>
  </si>
  <si>
    <t>Curriculum Specialist-Math</t>
  </si>
  <si>
    <t>Shavannah Jackson</t>
  </si>
  <si>
    <t>registration fees, travel and lodging associated with attending pd conferences</t>
  </si>
  <si>
    <t>The positions listed above with new position are new positions for this year</t>
  </si>
  <si>
    <t>with increased responsibilites and descriptions of roles.</t>
  </si>
  <si>
    <t>New Position - coordinates and provides intervention for struggling learners in the area of math</t>
  </si>
  <si>
    <t>Instructional Assitant</t>
  </si>
  <si>
    <t>New Position - Provides pull-out/in-class assistance to struggling learners in the area of reading</t>
  </si>
  <si>
    <t>New Position - Provides assitance to early learners and data and testing support for early childhood</t>
  </si>
  <si>
    <t>New Position - Coordinates and provides intervention for struggling learners in the area of reading</t>
  </si>
  <si>
    <t>Pulls out small groups of struggling learners to reduce class sizes of testing grade students</t>
  </si>
  <si>
    <t>Coordinates math intervention program, provides teachers with data profiles</t>
  </si>
  <si>
    <t>New Position - Coordinates and provides intervention for struggling learners in the area of math</t>
  </si>
  <si>
    <t xml:space="preserve">SAT 10, ANet Interim, Dibels, Mcircle, CK Pat </t>
  </si>
  <si>
    <t>printing costs associated with professional development attendance/presentations</t>
  </si>
  <si>
    <t>Compliance</t>
  </si>
  <si>
    <t>Business Manager</t>
  </si>
  <si>
    <t>2917 8th Street, NE, Washington, DC 20017</t>
  </si>
  <si>
    <t>301-776-4925</t>
  </si>
  <si>
    <t xml:space="preserve">After assesing the overall growth of each site based on year-end data, Hope Community Charter must enhance and increase the in-house intervention opportunities and programs available to struggling learners.  With the adotion of programs such as Writing Aviator to increase students abilities to successfully respond to common core writing standards, Hope will  allocate $156,625.35 to the use of Reading Coaches at each site to spearhead this initiatives.  To meet targets in math, Hope Community allocates $173,392.31     to employ the use of math coaches to provide pull out support for struggling learners, assist teachers in making data driven decisions, and coordinate observation cycles to review instructional delivery methods and model teaching strategies for teachers.  Hope Community allocates $35,980.00 for a Stanford Math Coordinator to manage math assessments and intervention programs for students specifically in testing grades, as well as Instructional Assistant; $30,000.00 to assist in class reduction efforts of testing grade classrooms and pull out small groups of struggling learners in classrooms in the areas of math and reading.  To provide early childhood classrooms with similar support with coordinating data profiles for early learners, as well as assistance with pull-out interventions and disseminating and coordinating benchmark testing cycles in early childhood classrooms, Hope Community Charter School allocated's $68,154.28 to employ the use of an Early Childhood Curriculum Specialist.  Initially, in the original application, the amounts requested for staff salaries did not include employee benefits. The amended amounts include salaries and benefits paid to the staff.                                                                                                                                                                                                                                                                                   </t>
  </si>
  <si>
    <t>Khafi McDowell</t>
  </si>
  <si>
    <t xml:space="preserve">Emily Ashcroft </t>
  </si>
  <si>
    <t>emily.ashcroft@imagineschools.com</t>
  </si>
  <si>
    <t>khafi.mcdowell@imagineschools.com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</si>
</sst>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mm/dd/yy;@"/>
    <numFmt numFmtId="165" formatCode="0.0"/>
  </numFmts>
  <fonts count="44" x14ac:knownFonts="1">
    <font>
      <sz val="10"/>
      <name val="Calibri"/>
    </font>
    <font>
      <sz val="11"/>
      <color indexed="8"/>
      <name val="Calibri"/>
      <family val="2"/>
    </font>
    <font>
      <sz val="10"/>
      <name val="Calibri"/>
      <family val="2"/>
    </font>
    <font>
      <b/>
      <sz val="12"/>
      <name val="Calibri"/>
      <family val="2"/>
    </font>
    <font>
      <b/>
      <sz val="14"/>
      <color indexed="9"/>
      <name val="Calibri"/>
      <family val="2"/>
    </font>
    <font>
      <sz val="10"/>
      <name val="Arial"/>
      <family val="2"/>
    </font>
    <font>
      <b/>
      <sz val="14"/>
      <name val="Calibri"/>
      <family val="2"/>
    </font>
    <font>
      <b/>
      <sz val="10"/>
      <color indexed="10"/>
      <name val="Calibri"/>
      <family val="2"/>
    </font>
    <font>
      <b/>
      <sz val="12"/>
      <color indexed="10"/>
      <name val="Calibri"/>
      <family val="2"/>
    </font>
    <font>
      <b/>
      <u/>
      <sz val="12"/>
      <color indexed="10"/>
      <name val="Calibri"/>
      <family val="2"/>
    </font>
    <font>
      <b/>
      <i/>
      <sz val="12"/>
      <name val="Calibri"/>
      <family val="2"/>
    </font>
    <font>
      <b/>
      <sz val="16"/>
      <name val="Calibri"/>
      <family val="2"/>
    </font>
    <font>
      <u/>
      <sz val="8.5"/>
      <color indexed="12"/>
      <name val="Arial"/>
      <family val="2"/>
    </font>
    <font>
      <b/>
      <u/>
      <sz val="12"/>
      <name val="Calibri"/>
      <family val="2"/>
    </font>
    <font>
      <b/>
      <i/>
      <u/>
      <sz val="12"/>
      <color indexed="10"/>
      <name val="Calibri"/>
      <family val="2"/>
    </font>
    <font>
      <b/>
      <sz val="10"/>
      <name val="Calibri"/>
      <family val="2"/>
    </font>
    <font>
      <sz val="12"/>
      <name val="Calibri"/>
      <family val="2"/>
    </font>
    <font>
      <b/>
      <u/>
      <sz val="11"/>
      <color indexed="10"/>
      <name val="Calibri"/>
      <family val="2"/>
    </font>
    <font>
      <b/>
      <sz val="11"/>
      <color indexed="10"/>
      <name val="Calibri"/>
      <family val="2"/>
    </font>
    <font>
      <sz val="11"/>
      <name val="Calibri"/>
      <family val="2"/>
    </font>
    <font>
      <u/>
      <sz val="11"/>
      <color indexed="56"/>
      <name val="Calibri"/>
      <family val="2"/>
    </font>
    <font>
      <b/>
      <sz val="11"/>
      <name val="Calibri"/>
      <family val="2"/>
    </font>
    <font>
      <sz val="20"/>
      <name val="Calibri"/>
      <family val="2"/>
    </font>
    <font>
      <b/>
      <sz val="10"/>
      <color indexed="8"/>
      <name val="Calibri"/>
      <family val="2"/>
    </font>
    <font>
      <sz val="10"/>
      <color indexed="8"/>
      <name val="Calibri"/>
      <family val="2"/>
    </font>
    <font>
      <b/>
      <i/>
      <sz val="11"/>
      <name val="Calibri"/>
      <family val="2"/>
    </font>
    <font>
      <b/>
      <sz val="9"/>
      <name val="Calibri"/>
      <family val="2"/>
    </font>
    <font>
      <i/>
      <sz val="10"/>
      <name val="Calibri"/>
      <family val="2"/>
    </font>
    <font>
      <b/>
      <sz val="10"/>
      <name val="Times New Roman"/>
      <family val="1"/>
    </font>
    <font>
      <sz val="8"/>
      <name val="Calibri"/>
      <family val="2"/>
    </font>
    <font>
      <sz val="10"/>
      <name val="Times New Roman"/>
      <family val="1"/>
    </font>
    <font>
      <b/>
      <u/>
      <sz val="10"/>
      <name val="Calibri"/>
      <family val="2"/>
    </font>
    <font>
      <b/>
      <sz val="20"/>
      <color indexed="9"/>
      <name val="Calibri"/>
      <family val="2"/>
    </font>
    <font>
      <b/>
      <i/>
      <u/>
      <sz val="11"/>
      <name val="Calibri"/>
      <family val="2"/>
    </font>
    <font>
      <b/>
      <sz val="16"/>
      <color indexed="9"/>
      <name val="Calibri"/>
      <family val="2"/>
    </font>
    <font>
      <b/>
      <u/>
      <sz val="16"/>
      <color indexed="9"/>
      <name val="Calibri"/>
      <family val="2"/>
    </font>
    <font>
      <b/>
      <sz val="12"/>
      <color indexed="9"/>
      <name val="Calibri"/>
      <family val="2"/>
    </font>
    <font>
      <sz val="11"/>
      <color theme="1"/>
      <name val="Calibri"/>
      <family val="2"/>
      <scheme val="minor"/>
    </font>
    <font>
      <u/>
      <sz val="8.5"/>
      <color theme="10"/>
      <name val="Calibri"/>
      <family val="2"/>
    </font>
    <font>
      <b/>
      <sz val="11"/>
      <color rgb="FFFF0000"/>
      <name val="Calibri"/>
      <family val="2"/>
    </font>
    <font>
      <b/>
      <sz val="14"/>
      <color theme="0"/>
      <name val="Calibri"/>
      <family val="2"/>
    </font>
    <font>
      <b/>
      <sz val="10"/>
      <color theme="0"/>
      <name val="Calibri"/>
      <family val="2"/>
    </font>
    <font>
      <b/>
      <i/>
      <sz val="10"/>
      <name val="Calibri"/>
      <family val="2"/>
    </font>
    <font>
      <sz val="10"/>
      <color rgb="FFFF0000"/>
      <name val="Calibri"/>
      <family val="2"/>
    </font>
  </fonts>
  <fills count="26">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8"/>
        <bgColor indexed="64"/>
      </patternFill>
    </fill>
    <fill>
      <patternFill patternType="solid">
        <fgColor indexed="10"/>
        <bgColor indexed="64"/>
      </patternFill>
    </fill>
    <fill>
      <patternFill patternType="solid">
        <fgColor indexed="11"/>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34998626667073579"/>
        <bgColor indexed="64"/>
      </patternFill>
    </fill>
    <fill>
      <patternFill patternType="solid">
        <fgColor rgb="FF00B0F0"/>
        <bgColor indexed="64"/>
      </patternFill>
    </fill>
    <fill>
      <patternFill patternType="solid">
        <fgColor rgb="FF7030A0"/>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rgb="FFFF660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0000FF"/>
        <bgColor indexed="64"/>
      </patternFill>
    </fill>
    <fill>
      <patternFill patternType="solid">
        <fgColor rgb="FF0066FF"/>
        <bgColor indexed="64"/>
      </patternFill>
    </fill>
  </fills>
  <borders count="104">
    <border>
      <left/>
      <right/>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ck">
        <color indexed="64"/>
      </bottom>
      <diagonal/>
    </border>
    <border>
      <left style="medium">
        <color indexed="64"/>
      </left>
      <right style="medium">
        <color indexed="64"/>
      </right>
      <top/>
      <bottom style="thick">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right style="thin">
        <color indexed="64"/>
      </right>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ck">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ck">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ck">
        <color indexed="64"/>
      </left>
      <right/>
      <top/>
      <bottom style="medium">
        <color indexed="64"/>
      </bottom>
      <diagonal/>
    </border>
    <border>
      <left style="medium">
        <color indexed="64"/>
      </left>
      <right/>
      <top style="thick">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ck">
        <color indexed="64"/>
      </bottom>
      <diagonal/>
    </border>
    <border>
      <left/>
      <right style="thin">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top style="medium">
        <color rgb="FFFF0000"/>
      </top>
      <bottom/>
      <diagonal/>
    </border>
    <border>
      <left style="thick">
        <color indexed="64"/>
      </left>
      <right style="thin">
        <color indexed="64"/>
      </right>
      <top/>
      <bottom/>
      <diagonal/>
    </border>
    <border>
      <left style="thin">
        <color indexed="64"/>
      </left>
      <right style="thick">
        <color indexed="64"/>
      </right>
      <top/>
      <bottom/>
      <diagonal/>
    </border>
    <border>
      <left/>
      <right style="thin">
        <color indexed="64"/>
      </right>
      <top style="thick">
        <color indexed="64"/>
      </top>
      <bottom style="thin">
        <color indexed="64"/>
      </bottom>
      <diagonal/>
    </border>
  </borders>
  <cellStyleXfs count="7">
    <xf numFmtId="0" fontId="0" fillId="0" borderId="0"/>
    <xf numFmtId="44" fontId="2" fillId="0" borderId="0" applyFont="0" applyFill="0" applyBorder="0" applyAlignment="0" applyProtection="0"/>
    <xf numFmtId="0" fontId="38"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2" fillId="0" borderId="0"/>
    <xf numFmtId="9" fontId="37" fillId="0" borderId="0" applyFont="0" applyFill="0" applyBorder="0" applyAlignment="0" applyProtection="0"/>
  </cellStyleXfs>
  <cellXfs count="932">
    <xf numFmtId="0" fontId="0" fillId="0" borderId="0" xfId="0"/>
    <xf numFmtId="0" fontId="2" fillId="0" borderId="0" xfId="0" applyFont="1" applyProtection="1"/>
    <xf numFmtId="0" fontId="2" fillId="0" borderId="0" xfId="5" applyFont="1" applyProtection="1"/>
    <xf numFmtId="0" fontId="3" fillId="2" borderId="1" xfId="5" applyFont="1" applyFill="1" applyBorder="1" applyAlignment="1" applyProtection="1">
      <alignment horizontal="center" vertical="center" wrapText="1"/>
    </xf>
    <xf numFmtId="0" fontId="3" fillId="2" borderId="0" xfId="5" applyFont="1" applyFill="1" applyBorder="1" applyAlignment="1" applyProtection="1">
      <alignment horizontal="center" vertical="center" wrapText="1"/>
    </xf>
    <xf numFmtId="0" fontId="3" fillId="2" borderId="2" xfId="5" applyFont="1" applyFill="1" applyBorder="1" applyAlignment="1" applyProtection="1">
      <alignment horizontal="center" vertical="center" wrapText="1"/>
    </xf>
    <xf numFmtId="0" fontId="7" fillId="2" borderId="0" xfId="5" applyFont="1" applyFill="1" applyBorder="1" applyAlignment="1" applyProtection="1">
      <alignment horizontal="center" vertical="center" wrapText="1"/>
    </xf>
    <xf numFmtId="0" fontId="7" fillId="2" borderId="2" xfId="5" applyFont="1" applyFill="1" applyBorder="1" applyAlignment="1" applyProtection="1">
      <alignment horizontal="center" vertical="center" wrapText="1"/>
    </xf>
    <xf numFmtId="0" fontId="7" fillId="2" borderId="3" xfId="5" applyFont="1" applyFill="1" applyBorder="1" applyAlignment="1" applyProtection="1">
      <alignment horizontal="center" vertical="center" wrapText="1"/>
    </xf>
    <xf numFmtId="0" fontId="7" fillId="2" borderId="4" xfId="5" applyFont="1" applyFill="1" applyBorder="1" applyAlignment="1" applyProtection="1">
      <alignment horizontal="center" vertical="center" wrapText="1"/>
    </xf>
    <xf numFmtId="0" fontId="8" fillId="2" borderId="4" xfId="5" applyFont="1" applyFill="1" applyBorder="1" applyAlignment="1" applyProtection="1">
      <alignment horizontal="center" vertical="center" wrapText="1"/>
    </xf>
    <xf numFmtId="0" fontId="7" fillId="2" borderId="5" xfId="5" applyFont="1" applyFill="1" applyBorder="1" applyAlignment="1" applyProtection="1">
      <alignment horizontal="center" vertical="center" wrapText="1"/>
    </xf>
    <xf numFmtId="0" fontId="7" fillId="2" borderId="1" xfId="5" applyFont="1" applyFill="1" applyBorder="1" applyAlignment="1" applyProtection="1">
      <alignment horizontal="center" vertical="center" wrapText="1"/>
    </xf>
    <xf numFmtId="0" fontId="2" fillId="2" borderId="1" xfId="5" applyFont="1" applyFill="1" applyBorder="1" applyProtection="1"/>
    <xf numFmtId="0" fontId="11" fillId="2" borderId="0" xfId="5" applyFont="1" applyFill="1" applyBorder="1" applyAlignment="1" applyProtection="1">
      <alignment horizontal="left"/>
    </xf>
    <xf numFmtId="0" fontId="2" fillId="2" borderId="0" xfId="5" applyFont="1" applyFill="1" applyBorder="1" applyProtection="1"/>
    <xf numFmtId="0" fontId="2" fillId="2" borderId="2" xfId="5" applyFont="1" applyFill="1" applyBorder="1" applyProtection="1"/>
    <xf numFmtId="0" fontId="2" fillId="2" borderId="3" xfId="5" applyFont="1" applyFill="1" applyBorder="1" applyProtection="1"/>
    <xf numFmtId="0" fontId="2" fillId="2" borderId="4" xfId="5" applyFont="1" applyFill="1" applyBorder="1" applyProtection="1"/>
    <xf numFmtId="0" fontId="2" fillId="2" borderId="5" xfId="5" applyFont="1" applyFill="1" applyBorder="1" applyProtection="1"/>
    <xf numFmtId="0" fontId="2" fillId="8" borderId="1" xfId="5" applyFont="1" applyFill="1" applyBorder="1" applyProtection="1"/>
    <xf numFmtId="0" fontId="2" fillId="0" borderId="0" xfId="5" applyFont="1" applyBorder="1" applyProtection="1"/>
    <xf numFmtId="0" fontId="2" fillId="0" borderId="0" xfId="0" applyFont="1"/>
    <xf numFmtId="0" fontId="2" fillId="2" borderId="3" xfId="5" applyFont="1" applyFill="1" applyBorder="1" applyAlignment="1" applyProtection="1">
      <alignment horizontal="left" vertical="top" wrapText="1"/>
    </xf>
    <xf numFmtId="0" fontId="2" fillId="2" borderId="4" xfId="5" applyFont="1" applyFill="1" applyBorder="1" applyAlignment="1" applyProtection="1">
      <alignment horizontal="left" vertical="top" wrapText="1"/>
    </xf>
    <xf numFmtId="0" fontId="2" fillId="2" borderId="5" xfId="5" applyFont="1" applyFill="1" applyBorder="1" applyAlignment="1" applyProtection="1">
      <alignment horizontal="left" vertical="top" wrapText="1"/>
    </xf>
    <xf numFmtId="0" fontId="2" fillId="0" borderId="0" xfId="5" applyFont="1" applyAlignment="1" applyProtection="1">
      <alignment vertical="center"/>
    </xf>
    <xf numFmtId="0" fontId="2" fillId="2" borderId="6" xfId="0" applyFont="1" applyFill="1" applyBorder="1" applyAlignment="1" applyProtection="1">
      <alignment shrinkToFit="1"/>
      <protection locked="0"/>
    </xf>
    <xf numFmtId="2" fontId="2" fillId="2" borderId="6" xfId="0" applyNumberFormat="1" applyFont="1" applyFill="1" applyBorder="1" applyAlignment="1" applyProtection="1">
      <alignment shrinkToFit="1"/>
      <protection locked="0"/>
    </xf>
    <xf numFmtId="44" fontId="2" fillId="2" borderId="6" xfId="0" applyNumberFormat="1" applyFont="1" applyFill="1" applyBorder="1" applyAlignment="1" applyProtection="1">
      <alignment shrinkToFit="1"/>
      <protection locked="0"/>
    </xf>
    <xf numFmtId="0" fontId="2" fillId="0" borderId="0" xfId="0" applyFont="1" applyFill="1" applyBorder="1" applyAlignment="1">
      <alignment horizontal="center"/>
    </xf>
    <xf numFmtId="0" fontId="2" fillId="2" borderId="0" xfId="0" applyFont="1" applyFill="1"/>
    <xf numFmtId="165" fontId="24" fillId="9" borderId="6" xfId="0" applyNumberFormat="1" applyFont="1" applyFill="1" applyBorder="1" applyAlignment="1" applyProtection="1">
      <alignment vertical="center"/>
    </xf>
    <xf numFmtId="44" fontId="24" fillId="9" borderId="6" xfId="6" applyNumberFormat="1" applyFont="1" applyFill="1" applyBorder="1" applyAlignment="1" applyProtection="1">
      <alignment horizontal="center" vertical="center"/>
    </xf>
    <xf numFmtId="0" fontId="23" fillId="9" borderId="6" xfId="0" applyFont="1" applyFill="1" applyBorder="1" applyAlignment="1" applyProtection="1">
      <alignment vertical="center"/>
    </xf>
    <xf numFmtId="0" fontId="26" fillId="10" borderId="7" xfId="5" applyFont="1" applyFill="1" applyBorder="1" applyAlignment="1" applyProtection="1">
      <alignment horizontal="left" shrinkToFit="1"/>
    </xf>
    <xf numFmtId="0" fontId="26" fillId="10" borderId="8" xfId="5" applyFont="1" applyFill="1" applyBorder="1" applyAlignment="1" applyProtection="1">
      <alignment horizontal="left" shrinkToFit="1"/>
    </xf>
    <xf numFmtId="0" fontId="26" fillId="11" borderId="9" xfId="5" applyFont="1" applyFill="1" applyBorder="1" applyAlignment="1" applyProtection="1">
      <alignment horizontal="left" shrinkToFit="1"/>
    </xf>
    <xf numFmtId="44" fontId="2" fillId="11" borderId="10" xfId="1" applyFont="1" applyFill="1" applyBorder="1" applyProtection="1"/>
    <xf numFmtId="0" fontId="26" fillId="9" borderId="11" xfId="5" applyFont="1" applyFill="1" applyBorder="1" applyAlignment="1" applyProtection="1">
      <alignment horizontal="left" shrinkToFit="1"/>
    </xf>
    <xf numFmtId="44" fontId="2" fillId="9" borderId="12" xfId="1" applyFont="1" applyFill="1" applyBorder="1" applyProtection="1"/>
    <xf numFmtId="44" fontId="2" fillId="11" borderId="9" xfId="1" applyFont="1" applyFill="1" applyBorder="1" applyProtection="1"/>
    <xf numFmtId="44" fontId="2" fillId="9" borderId="11" xfId="1" applyFont="1" applyFill="1" applyBorder="1" applyProtection="1"/>
    <xf numFmtId="0" fontId="26" fillId="9" borderId="7" xfId="5" applyFont="1" applyFill="1" applyBorder="1" applyAlignment="1" applyProtection="1">
      <alignment horizontal="left" shrinkToFit="1"/>
    </xf>
    <xf numFmtId="44" fontId="2" fillId="9" borderId="13" xfId="1" applyFont="1" applyFill="1" applyBorder="1" applyProtection="1"/>
    <xf numFmtId="0" fontId="26" fillId="9" borderId="8" xfId="5" applyFont="1" applyFill="1" applyBorder="1" applyAlignment="1" applyProtection="1">
      <alignment horizontal="left" shrinkToFit="1"/>
    </xf>
    <xf numFmtId="44" fontId="2" fillId="9" borderId="14" xfId="1" applyFont="1" applyFill="1" applyBorder="1" applyProtection="1"/>
    <xf numFmtId="44" fontId="2" fillId="0" borderId="15" xfId="1" applyFont="1" applyFill="1" applyBorder="1" applyProtection="1"/>
    <xf numFmtId="44" fontId="2" fillId="0" borderId="7" xfId="1" applyFont="1" applyFill="1" applyBorder="1" applyProtection="1"/>
    <xf numFmtId="44" fontId="2" fillId="0" borderId="16" xfId="1" applyFont="1" applyFill="1" applyBorder="1" applyProtection="1"/>
    <xf numFmtId="44" fontId="2" fillId="0" borderId="8" xfId="1" applyFont="1" applyFill="1" applyBorder="1" applyProtection="1"/>
    <xf numFmtId="44" fontId="2" fillId="9" borderId="15" xfId="1" applyFont="1" applyFill="1" applyBorder="1" applyProtection="1"/>
    <xf numFmtId="44" fontId="2" fillId="9" borderId="7" xfId="1" applyFont="1" applyFill="1" applyBorder="1" applyProtection="1"/>
    <xf numFmtId="44" fontId="2" fillId="9" borderId="16" xfId="1" applyFont="1" applyFill="1" applyBorder="1" applyProtection="1"/>
    <xf numFmtId="44" fontId="2" fillId="9" borderId="8" xfId="1" applyFont="1" applyFill="1" applyBorder="1" applyProtection="1"/>
    <xf numFmtId="0" fontId="2" fillId="12" borderId="17" xfId="0" applyFont="1" applyFill="1" applyBorder="1" applyProtection="1"/>
    <xf numFmtId="0" fontId="2" fillId="12" borderId="6" xfId="0" applyFont="1" applyFill="1" applyBorder="1" applyProtection="1"/>
    <xf numFmtId="0" fontId="2" fillId="12" borderId="18" xfId="0" applyFont="1" applyFill="1" applyBorder="1" applyAlignment="1" applyProtection="1"/>
    <xf numFmtId="0" fontId="2" fillId="12" borderId="14" xfId="0" applyFont="1" applyFill="1" applyBorder="1" applyAlignment="1" applyProtection="1"/>
    <xf numFmtId="0" fontId="2" fillId="12" borderId="19" xfId="0" applyFont="1" applyFill="1" applyBorder="1" applyAlignment="1" applyProtection="1"/>
    <xf numFmtId="0" fontId="2" fillId="12" borderId="20" xfId="0" applyFont="1" applyFill="1" applyBorder="1" applyAlignment="1" applyProtection="1"/>
    <xf numFmtId="0" fontId="2" fillId="0" borderId="0" xfId="0" applyFont="1" applyFill="1" applyProtection="1"/>
    <xf numFmtId="0" fontId="2" fillId="8" borderId="1" xfId="0" applyFont="1" applyFill="1" applyBorder="1" applyAlignment="1" applyProtection="1">
      <alignment horizontal="left" vertical="center" wrapText="1"/>
    </xf>
    <xf numFmtId="0" fontId="2" fillId="8" borderId="0" xfId="0" applyFont="1" applyFill="1" applyBorder="1" applyAlignment="1" applyProtection="1">
      <alignment horizontal="left" vertical="center" wrapText="1"/>
    </xf>
    <xf numFmtId="0" fontId="2" fillId="8" borderId="2" xfId="0" applyFont="1" applyFill="1" applyBorder="1" applyAlignment="1" applyProtection="1">
      <alignment horizontal="left" vertical="center" wrapText="1"/>
    </xf>
    <xf numFmtId="0" fontId="2" fillId="8" borderId="1" xfId="0" applyNumberFormat="1" applyFont="1" applyFill="1" applyBorder="1" applyAlignment="1" applyProtection="1">
      <alignment horizontal="left" vertical="center" wrapText="1"/>
    </xf>
    <xf numFmtId="0" fontId="2" fillId="8" borderId="1" xfId="0" applyNumberFormat="1" applyFont="1" applyFill="1" applyBorder="1" applyAlignment="1" applyProtection="1">
      <alignment horizontal="left" vertical="center" wrapText="1"/>
    </xf>
    <xf numFmtId="0" fontId="2" fillId="8" borderId="0" xfId="0" applyNumberFormat="1" applyFont="1" applyFill="1" applyBorder="1" applyAlignment="1" applyProtection="1">
      <alignment horizontal="left" vertical="center" wrapText="1"/>
    </xf>
    <xf numFmtId="0" fontId="2" fillId="8" borderId="2" xfId="0" applyNumberFormat="1" applyFont="1" applyFill="1" applyBorder="1" applyAlignment="1" applyProtection="1">
      <alignment horizontal="left" vertical="center" wrapText="1"/>
    </xf>
    <xf numFmtId="0" fontId="2" fillId="2" borderId="18" xfId="0" applyFont="1" applyFill="1" applyBorder="1" applyAlignment="1" applyProtection="1">
      <alignment shrinkToFit="1"/>
      <protection locked="0"/>
    </xf>
    <xf numFmtId="0" fontId="2" fillId="2" borderId="19" xfId="0" applyFont="1" applyFill="1" applyBorder="1" applyAlignment="1" applyProtection="1">
      <alignment shrinkToFit="1"/>
      <protection locked="0"/>
    </xf>
    <xf numFmtId="0" fontId="2" fillId="2" borderId="14" xfId="0" applyFont="1" applyFill="1" applyBorder="1" applyAlignment="1" applyProtection="1">
      <alignment shrinkToFit="1"/>
      <protection locked="0"/>
    </xf>
    <xf numFmtId="0" fontId="2" fillId="2" borderId="21" xfId="0" applyFont="1" applyFill="1" applyBorder="1" applyAlignment="1" applyProtection="1">
      <alignment shrinkToFit="1"/>
    </xf>
    <xf numFmtId="0" fontId="28" fillId="2" borderId="0" xfId="0" applyFont="1" applyFill="1" applyBorder="1" applyAlignment="1" applyProtection="1">
      <alignment wrapText="1" shrinkToFit="1"/>
    </xf>
    <xf numFmtId="0" fontId="2" fillId="4" borderId="22" xfId="0" applyFont="1" applyFill="1" applyBorder="1" applyAlignment="1" applyProtection="1">
      <alignment horizontal="center" vertical="center" shrinkToFit="1"/>
      <protection locked="0"/>
    </xf>
    <xf numFmtId="0" fontId="2" fillId="2" borderId="0" xfId="0" applyFont="1" applyFill="1" applyBorder="1" applyAlignment="1" applyProtection="1">
      <alignment shrinkToFit="1"/>
    </xf>
    <xf numFmtId="0" fontId="2" fillId="2" borderId="0" xfId="0" applyFont="1" applyFill="1" applyBorder="1" applyAlignment="1" applyProtection="1">
      <alignment horizontal="center" shrinkToFit="1"/>
    </xf>
    <xf numFmtId="0" fontId="29" fillId="2" borderId="0" xfId="0" applyFont="1" applyFill="1" applyBorder="1" applyAlignment="1" applyProtection="1">
      <alignment horizontal="center" shrinkToFit="1"/>
    </xf>
    <xf numFmtId="0" fontId="2" fillId="2" borderId="0" xfId="0" applyFont="1" applyFill="1" applyBorder="1" applyAlignment="1" applyProtection="1">
      <alignment horizontal="left" wrapText="1" shrinkToFit="1"/>
    </xf>
    <xf numFmtId="0" fontId="2" fillId="4" borderId="22" xfId="0" applyFont="1" applyFill="1" applyBorder="1" applyAlignment="1" applyProtection="1">
      <alignment horizontal="center" vertical="top" shrinkToFit="1"/>
      <protection locked="0"/>
    </xf>
    <xf numFmtId="0" fontId="30" fillId="2" borderId="0" xfId="0" applyFont="1" applyFill="1" applyBorder="1" applyAlignment="1" applyProtection="1">
      <alignment horizontal="left" shrinkToFit="1"/>
    </xf>
    <xf numFmtId="0" fontId="29" fillId="2" borderId="23" xfId="0" applyFont="1" applyFill="1" applyBorder="1" applyAlignment="1" applyProtection="1">
      <alignment horizontal="center" shrinkToFit="1"/>
    </xf>
    <xf numFmtId="0" fontId="2" fillId="2" borderId="23" xfId="0" applyFont="1" applyFill="1" applyBorder="1" applyAlignment="1" applyProtection="1">
      <alignment shrinkToFit="1"/>
    </xf>
    <xf numFmtId="0" fontId="2" fillId="8" borderId="23" xfId="0" applyFont="1" applyFill="1" applyBorder="1" applyAlignment="1" applyProtection="1">
      <alignment wrapText="1" shrinkToFit="1"/>
    </xf>
    <xf numFmtId="0" fontId="2" fillId="8" borderId="0" xfId="0" applyFont="1" applyFill="1" applyBorder="1" applyAlignment="1" applyProtection="1">
      <alignment wrapText="1" shrinkToFit="1"/>
    </xf>
    <xf numFmtId="164" fontId="2" fillId="4" borderId="22" xfId="0" applyNumberFormat="1" applyFont="1" applyFill="1" applyBorder="1" applyAlignment="1" applyProtection="1">
      <alignment horizontal="center" vertical="center" shrinkToFit="1"/>
      <protection locked="0"/>
    </xf>
    <xf numFmtId="0" fontId="2" fillId="2" borderId="24" xfId="0" applyFont="1" applyFill="1" applyBorder="1" applyAlignment="1" applyProtection="1">
      <alignment shrinkToFit="1"/>
    </xf>
    <xf numFmtId="0" fontId="2" fillId="2" borderId="2" xfId="0" applyFont="1" applyFill="1" applyBorder="1" applyAlignment="1" applyProtection="1">
      <alignment shrinkToFit="1"/>
    </xf>
    <xf numFmtId="0" fontId="2" fillId="2" borderId="25" xfId="0" applyFont="1" applyFill="1" applyBorder="1" applyAlignment="1" applyProtection="1">
      <alignment shrinkToFit="1"/>
    </xf>
    <xf numFmtId="0" fontId="2" fillId="2" borderId="1" xfId="0" applyFont="1" applyFill="1" applyBorder="1" applyAlignment="1" applyProtection="1">
      <alignment shrinkToFit="1"/>
    </xf>
    <xf numFmtId="0" fontId="29" fillId="2" borderId="1" xfId="0" applyFont="1" applyFill="1" applyBorder="1" applyAlignment="1" applyProtection="1">
      <alignment horizontal="center" shrinkToFit="1"/>
    </xf>
    <xf numFmtId="0" fontId="2" fillId="8" borderId="2" xfId="0" applyFont="1" applyFill="1" applyBorder="1" applyAlignment="1" applyProtection="1">
      <alignment wrapText="1" shrinkToFit="1"/>
    </xf>
    <xf numFmtId="0" fontId="2" fillId="2" borderId="2" xfId="0" applyFont="1" applyFill="1" applyBorder="1" applyAlignment="1" applyProtection="1">
      <alignment horizontal="left" wrapText="1" shrinkToFit="1"/>
    </xf>
    <xf numFmtId="0" fontId="29" fillId="2" borderId="26" xfId="0" applyFont="1" applyFill="1" applyBorder="1" applyAlignment="1" applyProtection="1">
      <alignment horizontal="center" shrinkToFit="1"/>
    </xf>
    <xf numFmtId="0" fontId="2" fillId="8" borderId="27" xfId="0" applyFont="1" applyFill="1" applyBorder="1" applyAlignment="1" applyProtection="1">
      <alignment wrapText="1" shrinkToFit="1"/>
    </xf>
    <xf numFmtId="0" fontId="2" fillId="8" borderId="5" xfId="0" applyFont="1" applyFill="1" applyBorder="1" applyAlignment="1" applyProtection="1">
      <alignment wrapText="1" shrinkToFit="1"/>
    </xf>
    <xf numFmtId="0" fontId="2" fillId="2" borderId="0" xfId="0" applyFont="1" applyFill="1" applyBorder="1" applyAlignment="1">
      <alignment wrapText="1"/>
    </xf>
    <xf numFmtId="0" fontId="2" fillId="0" borderId="28" xfId="0" applyFont="1" applyBorder="1" applyProtection="1"/>
    <xf numFmtId="0" fontId="2" fillId="0" borderId="2" xfId="0" applyFont="1" applyBorder="1" applyProtection="1"/>
    <xf numFmtId="0" fontId="2" fillId="0" borderId="2" xfId="0" applyFont="1" applyFill="1" applyBorder="1" applyProtection="1"/>
    <xf numFmtId="0" fontId="2" fillId="2" borderId="2" xfId="0" applyFont="1" applyFill="1" applyBorder="1" applyAlignment="1">
      <alignment wrapText="1"/>
    </xf>
    <xf numFmtId="0" fontId="24" fillId="2" borderId="2" xfId="0" applyFont="1" applyFill="1" applyBorder="1" applyAlignment="1">
      <alignment horizontal="left" wrapText="1"/>
    </xf>
    <xf numFmtId="0" fontId="2" fillId="0" borderId="0" xfId="0" applyFont="1" applyFill="1" applyBorder="1" applyProtection="1"/>
    <xf numFmtId="0" fontId="29" fillId="8" borderId="4" xfId="0" applyFont="1" applyFill="1" applyBorder="1" applyAlignment="1" applyProtection="1">
      <alignment horizontal="center" shrinkToFit="1"/>
    </xf>
    <xf numFmtId="0" fontId="2" fillId="8" borderId="4" xfId="0" applyFont="1" applyFill="1" applyBorder="1" applyAlignment="1" applyProtection="1">
      <alignment shrinkToFit="1"/>
    </xf>
    <xf numFmtId="0" fontId="2" fillId="8" borderId="4" xfId="0" applyNumberFormat="1" applyFont="1" applyFill="1" applyBorder="1" applyAlignment="1" applyProtection="1">
      <alignment horizontal="center" vertical="center" shrinkToFit="1"/>
      <protection locked="0"/>
    </xf>
    <xf numFmtId="0" fontId="29" fillId="8" borderId="3" xfId="0" applyFont="1" applyFill="1" applyBorder="1" applyAlignment="1" applyProtection="1">
      <alignment horizontal="center" shrinkToFit="1"/>
    </xf>
    <xf numFmtId="0" fontId="2" fillId="2" borderId="0" xfId="0" applyFont="1" applyFill="1" applyBorder="1"/>
    <xf numFmtId="0" fontId="11" fillId="2" borderId="0" xfId="5" applyFont="1" applyFill="1" applyBorder="1" applyAlignment="1" applyProtection="1">
      <alignment horizontal="center" vertical="center"/>
    </xf>
    <xf numFmtId="0" fontId="2" fillId="2" borderId="0" xfId="5" applyFont="1" applyFill="1" applyBorder="1" applyAlignment="1" applyProtection="1">
      <alignment vertical="center"/>
    </xf>
    <xf numFmtId="0" fontId="6" fillId="2" borderId="0" xfId="5" applyFont="1" applyFill="1" applyBorder="1" applyAlignment="1" applyProtection="1">
      <alignment horizontal="right" vertical="center"/>
    </xf>
    <xf numFmtId="0" fontId="2" fillId="8" borderId="4" xfId="5" applyFont="1" applyFill="1" applyBorder="1" applyAlignment="1" applyProtection="1">
      <alignment vertical="center"/>
    </xf>
    <xf numFmtId="0" fontId="3" fillId="2" borderId="0" xfId="5" applyFont="1" applyFill="1" applyBorder="1" applyProtection="1"/>
    <xf numFmtId="0" fontId="28" fillId="2" borderId="2" xfId="0" applyFont="1" applyFill="1" applyBorder="1" applyAlignment="1" applyProtection="1">
      <alignment wrapText="1" shrinkToFit="1"/>
    </xf>
    <xf numFmtId="0" fontId="2" fillId="0" borderId="0" xfId="0" applyFont="1" applyBorder="1" applyProtection="1"/>
    <xf numFmtId="0" fontId="29" fillId="8" borderId="1" xfId="0" applyFont="1" applyFill="1" applyBorder="1" applyAlignment="1" applyProtection="1">
      <alignment horizontal="center" shrinkToFit="1"/>
    </xf>
    <xf numFmtId="0" fontId="29" fillId="8" borderId="0" xfId="0" applyFont="1" applyFill="1" applyBorder="1" applyAlignment="1" applyProtection="1">
      <alignment horizontal="center" shrinkToFit="1"/>
    </xf>
    <xf numFmtId="0" fontId="2" fillId="8" borderId="0" xfId="0" applyFont="1" applyFill="1" applyBorder="1" applyAlignment="1" applyProtection="1">
      <alignment shrinkToFit="1"/>
    </xf>
    <xf numFmtId="0" fontId="2" fillId="8" borderId="1" xfId="0" applyFont="1" applyFill="1" applyBorder="1" applyProtection="1"/>
    <xf numFmtId="0" fontId="2" fillId="8" borderId="0" xfId="0" applyFont="1" applyFill="1" applyBorder="1" applyProtection="1"/>
    <xf numFmtId="0" fontId="2" fillId="8" borderId="2" xfId="0" applyFont="1" applyFill="1" applyBorder="1" applyProtection="1"/>
    <xf numFmtId="0" fontId="2" fillId="8" borderId="3" xfId="0" applyFont="1" applyFill="1" applyBorder="1" applyProtection="1"/>
    <xf numFmtId="0" fontId="2" fillId="8" borderId="4" xfId="0" applyFont="1" applyFill="1" applyBorder="1" applyProtection="1"/>
    <xf numFmtId="0" fontId="2" fillId="8" borderId="5" xfId="0" applyFont="1" applyFill="1" applyBorder="1" applyProtection="1"/>
    <xf numFmtId="0" fontId="2" fillId="8" borderId="4" xfId="0" applyNumberFormat="1" applyFont="1" applyFill="1" applyBorder="1" applyAlignment="1" applyProtection="1">
      <alignment vertical="top" wrapText="1"/>
    </xf>
    <xf numFmtId="0" fontId="39" fillId="2" borderId="0" xfId="5" applyFont="1" applyFill="1" applyBorder="1" applyAlignment="1" applyProtection="1">
      <alignment horizontal="center" vertical="center" wrapText="1"/>
    </xf>
    <xf numFmtId="0" fontId="2" fillId="8" borderId="0" xfId="0" applyFont="1" applyFill="1" applyBorder="1" applyAlignment="1" applyProtection="1">
      <alignment wrapText="1" shrinkToFit="1"/>
    </xf>
    <xf numFmtId="0" fontId="2" fillId="8" borderId="2" xfId="0" applyFont="1" applyFill="1" applyBorder="1" applyAlignment="1" applyProtection="1">
      <alignment wrapText="1" shrinkToFit="1"/>
    </xf>
    <xf numFmtId="0" fontId="15" fillId="8" borderId="0" xfId="0" applyFont="1" applyFill="1" applyBorder="1" applyAlignment="1" applyProtection="1">
      <alignment wrapText="1" shrinkToFit="1"/>
    </xf>
    <xf numFmtId="0" fontId="2" fillId="8" borderId="0" xfId="0" applyFont="1" applyFill="1" applyBorder="1" applyAlignment="1" applyProtection="1">
      <alignment horizontal="left" wrapText="1" shrinkToFit="1"/>
    </xf>
    <xf numFmtId="0" fontId="2" fillId="8" borderId="5" xfId="5" applyFont="1" applyFill="1" applyBorder="1" applyAlignment="1" applyProtection="1">
      <alignment wrapText="1" shrinkToFit="1"/>
    </xf>
    <xf numFmtId="0" fontId="2" fillId="8" borderId="4" xfId="5" applyFont="1" applyFill="1" applyBorder="1" applyAlignment="1" applyProtection="1">
      <alignment wrapText="1" shrinkToFit="1"/>
    </xf>
    <xf numFmtId="0" fontId="2" fillId="2" borderId="4" xfId="5" applyFont="1" applyFill="1" applyBorder="1" applyAlignment="1" applyProtection="1">
      <alignment shrinkToFit="1"/>
    </xf>
    <xf numFmtId="0" fontId="29" fillId="2" borderId="4" xfId="5" applyFont="1" applyFill="1" applyBorder="1" applyAlignment="1" applyProtection="1">
      <alignment horizontal="center" shrinkToFit="1"/>
    </xf>
    <xf numFmtId="0" fontId="29" fillId="2" borderId="3" xfId="5" applyFont="1" applyFill="1" applyBorder="1" applyAlignment="1" applyProtection="1">
      <alignment horizontal="center" shrinkToFit="1"/>
    </xf>
    <xf numFmtId="0" fontId="2" fillId="8" borderId="2" xfId="5" applyFont="1" applyFill="1" applyBorder="1" applyAlignment="1" applyProtection="1">
      <alignment wrapText="1" shrinkToFit="1"/>
    </xf>
    <xf numFmtId="0" fontId="2" fillId="2" borderId="0" xfId="5" applyFont="1" applyFill="1" applyBorder="1" applyAlignment="1" applyProtection="1">
      <alignment shrinkToFit="1"/>
    </xf>
    <xf numFmtId="0" fontId="29" fillId="2" borderId="0" xfId="5" applyFont="1" applyFill="1" applyBorder="1" applyAlignment="1" applyProtection="1">
      <alignment horizontal="center" shrinkToFit="1"/>
    </xf>
    <xf numFmtId="0" fontId="29" fillId="2" borderId="1" xfId="5" applyFont="1" applyFill="1" applyBorder="1" applyAlignment="1" applyProtection="1">
      <alignment horizontal="center" shrinkToFit="1"/>
    </xf>
    <xf numFmtId="0" fontId="2" fillId="4" borderId="22" xfId="5" applyFont="1" applyFill="1" applyBorder="1" applyAlignment="1" applyProtection="1">
      <alignment horizontal="center" vertical="center" shrinkToFit="1"/>
      <protection locked="0"/>
    </xf>
    <xf numFmtId="0" fontId="2" fillId="2" borderId="2" xfId="5" applyFont="1" applyFill="1" applyBorder="1" applyAlignment="1" applyProtection="1">
      <alignment shrinkToFit="1"/>
    </xf>
    <xf numFmtId="0" fontId="2" fillId="2" borderId="0" xfId="5" applyFont="1" applyFill="1" applyBorder="1" applyAlignment="1" applyProtection="1">
      <alignment horizontal="center" shrinkToFit="1"/>
    </xf>
    <xf numFmtId="0" fontId="2" fillId="2" borderId="1" xfId="5" applyFont="1" applyFill="1" applyBorder="1" applyAlignment="1" applyProtection="1">
      <alignment shrinkToFit="1"/>
    </xf>
    <xf numFmtId="0" fontId="2" fillId="2" borderId="24" xfId="5" applyFont="1" applyFill="1" applyBorder="1" applyAlignment="1" applyProtection="1">
      <alignment shrinkToFit="1"/>
    </xf>
    <xf numFmtId="0" fontId="2" fillId="2" borderId="21" xfId="5" applyFont="1" applyFill="1" applyBorder="1" applyAlignment="1" applyProtection="1">
      <alignment shrinkToFit="1"/>
    </xf>
    <xf numFmtId="0" fontId="2" fillId="2" borderId="25" xfId="5" applyFont="1" applyFill="1" applyBorder="1" applyAlignment="1" applyProtection="1">
      <alignment shrinkToFit="1"/>
    </xf>
    <xf numFmtId="0" fontId="2" fillId="0" borderId="0" xfId="5" applyFont="1" applyFill="1" applyProtection="1"/>
    <xf numFmtId="0" fontId="2" fillId="8" borderId="0" xfId="5" applyFont="1" applyFill="1" applyBorder="1" applyAlignment="1" applyProtection="1">
      <alignment wrapText="1" shrinkToFit="1"/>
    </xf>
    <xf numFmtId="0" fontId="2" fillId="8" borderId="27" xfId="5" applyFont="1" applyFill="1" applyBorder="1" applyAlignment="1" applyProtection="1">
      <alignment wrapText="1" shrinkToFit="1"/>
    </xf>
    <xf numFmtId="0" fontId="2" fillId="8" borderId="23" xfId="5" applyFont="1" applyFill="1" applyBorder="1" applyAlignment="1" applyProtection="1">
      <alignment wrapText="1" shrinkToFit="1"/>
    </xf>
    <xf numFmtId="0" fontId="2" fillId="2" borderId="23" xfId="5" applyFont="1" applyFill="1" applyBorder="1" applyAlignment="1" applyProtection="1">
      <alignment shrinkToFit="1"/>
    </xf>
    <xf numFmtId="0" fontId="29" fillId="2" borderId="23" xfId="5" applyFont="1" applyFill="1" applyBorder="1" applyAlignment="1" applyProtection="1">
      <alignment horizontal="center" shrinkToFit="1"/>
    </xf>
    <xf numFmtId="0" fontId="29" fillId="2" borderId="26" xfId="5" applyFont="1" applyFill="1" applyBorder="1" applyAlignment="1" applyProtection="1">
      <alignment horizontal="center" shrinkToFit="1"/>
    </xf>
    <xf numFmtId="0" fontId="2" fillId="0" borderId="1" xfId="5" applyFont="1" applyFill="1" applyBorder="1" applyProtection="1"/>
    <xf numFmtId="0" fontId="2" fillId="4" borderId="22" xfId="5" applyFont="1" applyFill="1" applyBorder="1" applyAlignment="1" applyProtection="1">
      <alignment horizontal="center" vertical="top" shrinkToFit="1"/>
      <protection locked="0"/>
    </xf>
    <xf numFmtId="0" fontId="30" fillId="2" borderId="0" xfId="5" applyFont="1" applyFill="1" applyBorder="1" applyAlignment="1" applyProtection="1">
      <alignment horizontal="left" shrinkToFit="1"/>
    </xf>
    <xf numFmtId="0" fontId="2" fillId="2" borderId="2" xfId="5" applyFont="1" applyFill="1" applyBorder="1" applyAlignment="1" applyProtection="1">
      <alignment horizontal="left" wrapText="1" shrinkToFit="1"/>
    </xf>
    <xf numFmtId="0" fontId="2" fillId="2" borderId="0" xfId="5" applyFont="1" applyFill="1" applyBorder="1" applyAlignment="1" applyProtection="1">
      <alignment horizontal="left" wrapText="1" shrinkToFit="1"/>
    </xf>
    <xf numFmtId="0" fontId="15" fillId="2" borderId="0" xfId="5" applyFont="1" applyFill="1" applyBorder="1" applyAlignment="1" applyProtection="1">
      <alignment horizontal="left" shrinkToFit="1"/>
    </xf>
    <xf numFmtId="0" fontId="2" fillId="12" borderId="20" xfId="5" applyFont="1" applyFill="1" applyBorder="1" applyAlignment="1" applyProtection="1"/>
    <xf numFmtId="0" fontId="2" fillId="12" borderId="18" xfId="5" applyFont="1" applyFill="1" applyBorder="1" applyAlignment="1" applyProtection="1"/>
    <xf numFmtId="0" fontId="2" fillId="12" borderId="19" xfId="5" applyFont="1" applyFill="1" applyBorder="1" applyAlignment="1" applyProtection="1"/>
    <xf numFmtId="0" fontId="2" fillId="12" borderId="14" xfId="5" applyFont="1" applyFill="1" applyBorder="1" applyAlignment="1" applyProtection="1"/>
    <xf numFmtId="0" fontId="2" fillId="12" borderId="6" xfId="5" applyFont="1" applyFill="1" applyBorder="1" applyProtection="1"/>
    <xf numFmtId="0" fontId="2" fillId="12" borderId="17" xfId="5" applyFont="1" applyFill="1" applyBorder="1" applyProtection="1"/>
    <xf numFmtId="0" fontId="2" fillId="0" borderId="0" xfId="5" applyAlignment="1" applyProtection="1">
      <alignment wrapText="1"/>
    </xf>
    <xf numFmtId="0" fontId="15" fillId="2" borderId="6" xfId="5" applyFont="1" applyFill="1" applyBorder="1" applyAlignment="1" applyProtection="1">
      <alignment horizontal="center" shrinkToFit="1"/>
    </xf>
    <xf numFmtId="0" fontId="15" fillId="0" borderId="0" xfId="5" applyFont="1" applyAlignment="1" applyProtection="1">
      <alignment horizontal="center" wrapText="1"/>
    </xf>
    <xf numFmtId="0" fontId="2" fillId="0" borderId="0" xfId="5" applyFill="1" applyAlignment="1" applyProtection="1">
      <alignment wrapText="1"/>
    </xf>
    <xf numFmtId="0" fontId="2" fillId="0" borderId="0" xfId="5" applyBorder="1" applyAlignment="1" applyProtection="1">
      <alignment wrapText="1"/>
    </xf>
    <xf numFmtId="0" fontId="2" fillId="2" borderId="29" xfId="0" applyFont="1" applyFill="1" applyBorder="1" applyAlignment="1" applyProtection="1">
      <alignment shrinkToFit="1"/>
      <protection locked="0"/>
    </xf>
    <xf numFmtId="0" fontId="2" fillId="2" borderId="20" xfId="0" applyFont="1" applyFill="1" applyBorder="1" applyAlignment="1" applyProtection="1">
      <alignment shrinkToFit="1"/>
      <protection locked="0"/>
    </xf>
    <xf numFmtId="44" fontId="24" fillId="9" borderId="30" xfId="6" applyNumberFormat="1" applyFont="1" applyFill="1" applyBorder="1" applyAlignment="1" applyProtection="1">
      <alignment horizontal="center" vertical="center"/>
    </xf>
    <xf numFmtId="0" fontId="15" fillId="8" borderId="0" xfId="0" applyFont="1" applyFill="1" applyBorder="1" applyAlignment="1" applyProtection="1">
      <alignment vertical="top" wrapText="1" shrinkToFit="1"/>
    </xf>
    <xf numFmtId="44" fontId="2" fillId="11" borderId="13" xfId="1" applyFont="1" applyFill="1" applyBorder="1" applyProtection="1"/>
    <xf numFmtId="44" fontId="2" fillId="11" borderId="14" xfId="1" applyFont="1" applyFill="1" applyBorder="1" applyProtection="1"/>
    <xf numFmtId="0" fontId="15" fillId="8" borderId="0" xfId="0" applyFont="1" applyFill="1" applyBorder="1" applyAlignment="1" applyProtection="1">
      <alignment vertical="top" wrapText="1" shrinkToFit="1"/>
    </xf>
    <xf numFmtId="0" fontId="2" fillId="8" borderId="2" xfId="0" applyFont="1" applyFill="1" applyBorder="1" applyAlignment="1" applyProtection="1">
      <alignment wrapText="1" shrinkToFit="1"/>
    </xf>
    <xf numFmtId="0" fontId="2" fillId="12" borderId="21" xfId="0" applyFont="1" applyFill="1" applyBorder="1" applyAlignment="1" applyProtection="1"/>
    <xf numFmtId="0" fontId="2" fillId="12" borderId="24" xfId="0" applyFont="1" applyFill="1" applyBorder="1" applyAlignment="1" applyProtection="1"/>
    <xf numFmtId="0" fontId="2" fillId="12" borderId="37" xfId="0" applyFont="1" applyFill="1" applyBorder="1" applyProtection="1"/>
    <xf numFmtId="0" fontId="2" fillId="12" borderId="50" xfId="0" applyFont="1" applyFill="1" applyBorder="1" applyProtection="1"/>
    <xf numFmtId="0" fontId="2" fillId="12" borderId="71" xfId="0" applyFont="1" applyFill="1" applyBorder="1" applyAlignment="1" applyProtection="1"/>
    <xf numFmtId="0" fontId="2" fillId="12" borderId="68" xfId="0" applyFont="1" applyFill="1" applyBorder="1" applyAlignment="1" applyProtection="1"/>
    <xf numFmtId="0" fontId="29" fillId="2" borderId="3" xfId="0" applyFont="1" applyFill="1" applyBorder="1" applyAlignment="1" applyProtection="1">
      <alignment horizontal="center" shrinkToFit="1"/>
    </xf>
    <xf numFmtId="0" fontId="2" fillId="2" borderId="4" xfId="0" applyFont="1" applyFill="1" applyBorder="1" applyAlignment="1" applyProtection="1">
      <alignment horizontal="center" shrinkToFit="1"/>
    </xf>
    <xf numFmtId="0" fontId="2" fillId="2" borderId="4" xfId="0" applyFont="1" applyFill="1" applyBorder="1" applyAlignment="1" applyProtection="1">
      <alignment shrinkToFit="1"/>
    </xf>
    <xf numFmtId="0" fontId="2" fillId="2" borderId="5" xfId="0" applyFont="1" applyFill="1" applyBorder="1" applyAlignment="1" applyProtection="1">
      <alignment shrinkToFit="1"/>
    </xf>
    <xf numFmtId="0" fontId="2" fillId="2" borderId="71" xfId="0" applyFont="1" applyFill="1" applyBorder="1" applyAlignment="1" applyProtection="1">
      <alignment shrinkToFit="1"/>
    </xf>
    <xf numFmtId="0" fontId="2" fillId="2" borderId="68" xfId="0" applyFont="1" applyFill="1" applyBorder="1" applyAlignment="1" applyProtection="1">
      <alignment shrinkToFit="1"/>
    </xf>
    <xf numFmtId="0" fontId="2" fillId="2" borderId="72" xfId="0" applyFont="1" applyFill="1" applyBorder="1" applyAlignment="1" applyProtection="1">
      <alignment shrinkToFit="1"/>
    </xf>
    <xf numFmtId="0" fontId="2" fillId="0" borderId="0" xfId="0" applyFont="1" applyBorder="1" applyAlignment="1" applyProtection="1">
      <alignment shrinkToFit="1"/>
    </xf>
    <xf numFmtId="0" fontId="3" fillId="2" borderId="0" xfId="0" applyFont="1" applyFill="1" applyBorder="1" applyAlignment="1" applyProtection="1">
      <alignment wrapText="1" shrinkToFit="1"/>
    </xf>
    <xf numFmtId="0" fontId="28" fillId="2" borderId="69" xfId="0" applyFont="1" applyFill="1" applyBorder="1" applyAlignment="1" applyProtection="1">
      <alignment wrapText="1" shrinkToFit="1"/>
    </xf>
    <xf numFmtId="0" fontId="29" fillId="2" borderId="72" xfId="0" applyFont="1" applyFill="1" applyBorder="1" applyAlignment="1" applyProtection="1">
      <alignment horizontal="center" shrinkToFit="1"/>
    </xf>
    <xf numFmtId="0" fontId="2" fillId="2" borderId="69" xfId="0" applyFont="1" applyFill="1" applyBorder="1" applyAlignment="1" applyProtection="1">
      <alignment shrinkToFit="1"/>
    </xf>
    <xf numFmtId="0" fontId="29" fillId="2" borderId="0" xfId="0" applyFont="1" applyFill="1" applyBorder="1" applyAlignment="1" applyProtection="1">
      <alignment horizontal="center" shrinkToFit="1"/>
      <protection locked="0"/>
    </xf>
    <xf numFmtId="0" fontId="29" fillId="2" borderId="73" xfId="0" applyFont="1" applyFill="1" applyBorder="1" applyAlignment="1" applyProtection="1">
      <alignment horizontal="center" shrinkToFit="1"/>
    </xf>
    <xf numFmtId="0" fontId="0" fillId="8" borderId="0" xfId="0" applyFill="1"/>
    <xf numFmtId="0" fontId="13" fillId="14" borderId="6" xfId="2" applyFont="1" applyFill="1" applyBorder="1" applyAlignment="1" applyProtection="1">
      <alignment horizontal="left" vertical="center" shrinkToFit="1"/>
    </xf>
    <xf numFmtId="0" fontId="13" fillId="8" borderId="6" xfId="2" applyFont="1" applyFill="1" applyBorder="1" applyAlignment="1" applyProtection="1">
      <alignment horizontal="left" vertical="center" shrinkToFit="1"/>
    </xf>
    <xf numFmtId="0" fontId="13" fillId="13" borderId="6" xfId="2" applyFont="1" applyFill="1" applyBorder="1" applyAlignment="1" applyProtection="1">
      <alignment horizontal="left" vertical="center" shrinkToFit="1"/>
    </xf>
    <xf numFmtId="0" fontId="13" fillId="15" borderId="6" xfId="2" applyFont="1" applyFill="1" applyBorder="1" applyAlignment="1" applyProtection="1">
      <alignment vertical="center"/>
    </xf>
    <xf numFmtId="0" fontId="13" fillId="15" borderId="6" xfId="2" applyFont="1" applyFill="1" applyBorder="1" applyAlignment="1" applyProtection="1">
      <alignment horizontal="left" vertical="center" shrinkToFit="1"/>
    </xf>
    <xf numFmtId="0" fontId="13" fillId="17" borderId="6" xfId="2" applyFont="1" applyFill="1" applyBorder="1" applyAlignment="1" applyProtection="1">
      <alignment vertical="center"/>
    </xf>
    <xf numFmtId="0" fontId="13" fillId="25" borderId="18" xfId="2" applyFont="1" applyFill="1" applyBorder="1" applyAlignment="1" applyProtection="1">
      <alignment horizontal="left" vertical="center"/>
    </xf>
    <xf numFmtId="0" fontId="13" fillId="25" borderId="14" xfId="2" applyFont="1" applyFill="1" applyBorder="1" applyAlignment="1" applyProtection="1">
      <alignment horizontal="left" vertical="center"/>
    </xf>
    <xf numFmtId="0" fontId="13" fillId="25" borderId="19" xfId="2" applyFont="1" applyFill="1" applyBorder="1" applyAlignment="1" applyProtection="1">
      <alignment horizontal="left" vertical="center"/>
    </xf>
    <xf numFmtId="0" fontId="13" fillId="18" borderId="6" xfId="2" applyFont="1" applyFill="1" applyBorder="1" applyAlignment="1" applyProtection="1">
      <alignment horizontal="left" vertical="center" shrinkToFit="1"/>
    </xf>
    <xf numFmtId="0" fontId="13" fillId="16" borderId="6" xfId="2" applyFont="1" applyFill="1" applyBorder="1" applyAlignment="1" applyProtection="1">
      <alignment horizontal="left" vertical="center" shrinkToFit="1"/>
    </xf>
    <xf numFmtId="0" fontId="13" fillId="16" borderId="6" xfId="2" applyFont="1" applyFill="1" applyBorder="1" applyAlignment="1" applyProtection="1">
      <alignment vertical="center"/>
    </xf>
    <xf numFmtId="0" fontId="13" fillId="19" borderId="6" xfId="2" applyFont="1" applyFill="1" applyBorder="1" applyAlignment="1" applyProtection="1">
      <alignment horizontal="left" vertical="center" shrinkToFit="1"/>
    </xf>
    <xf numFmtId="0" fontId="3" fillId="2" borderId="31" xfId="5" applyFont="1" applyFill="1" applyBorder="1" applyAlignment="1" applyProtection="1">
      <alignment horizontal="center" vertical="center" wrapText="1"/>
    </xf>
    <xf numFmtId="0" fontId="3" fillId="2" borderId="32" xfId="5" applyFont="1" applyFill="1" applyBorder="1" applyAlignment="1" applyProtection="1">
      <alignment horizontal="center" vertical="center" wrapText="1"/>
    </xf>
    <xf numFmtId="0" fontId="3" fillId="2" borderId="28" xfId="5" applyFont="1" applyFill="1" applyBorder="1" applyAlignment="1" applyProtection="1">
      <alignment horizontal="center" vertical="center" wrapText="1"/>
    </xf>
    <xf numFmtId="0" fontId="3" fillId="2" borderId="1" xfId="5" applyFont="1" applyFill="1" applyBorder="1" applyAlignment="1" applyProtection="1">
      <alignment horizontal="center" vertical="center" wrapText="1"/>
    </xf>
    <xf numFmtId="0" fontId="3" fillId="2" borderId="0" xfId="5" applyFont="1" applyFill="1" applyBorder="1" applyAlignment="1" applyProtection="1">
      <alignment horizontal="center" vertical="center" wrapText="1"/>
    </xf>
    <xf numFmtId="0" fontId="3" fillId="2" borderId="2" xfId="5" applyFont="1" applyFill="1" applyBorder="1" applyAlignment="1" applyProtection="1">
      <alignment horizontal="center" vertical="center" wrapText="1"/>
    </xf>
    <xf numFmtId="0" fontId="2" fillId="0" borderId="0" xfId="5" applyFont="1" applyBorder="1" applyAlignment="1" applyProtection="1">
      <alignment horizontal="center"/>
    </xf>
    <xf numFmtId="0" fontId="2" fillId="8" borderId="0" xfId="5" applyFont="1" applyFill="1" applyBorder="1" applyAlignment="1" applyProtection="1">
      <alignment horizontal="center"/>
    </xf>
    <xf numFmtId="0" fontId="13" fillId="6" borderId="6" xfId="3" applyFont="1" applyFill="1" applyBorder="1" applyAlignment="1" applyProtection="1">
      <alignment horizontal="left" vertical="center" shrinkToFit="1"/>
    </xf>
    <xf numFmtId="0" fontId="13" fillId="19" borderId="6" xfId="2" applyFont="1" applyFill="1" applyBorder="1" applyAlignment="1" applyProtection="1">
      <alignment vertical="center"/>
    </xf>
    <xf numFmtId="0" fontId="13" fillId="20" borderId="6" xfId="2" applyFont="1" applyFill="1" applyBorder="1" applyAlignment="1" applyProtection="1">
      <alignment horizontal="left" vertical="center" shrinkToFit="1"/>
    </xf>
    <xf numFmtId="0" fontId="8" fillId="2" borderId="0" xfId="5" applyFont="1" applyFill="1" applyBorder="1" applyAlignment="1" applyProtection="1">
      <alignment horizontal="center" vertical="center" wrapText="1"/>
    </xf>
    <xf numFmtId="0" fontId="4" fillId="5" borderId="35" xfId="5" applyFont="1" applyFill="1" applyBorder="1" applyAlignment="1" applyProtection="1">
      <alignment horizontal="center" vertical="center"/>
    </xf>
    <xf numFmtId="0" fontId="4" fillId="5" borderId="36" xfId="5" applyFont="1" applyFill="1" applyBorder="1" applyAlignment="1" applyProtection="1">
      <alignment horizontal="center" vertical="center"/>
    </xf>
    <xf numFmtId="0" fontId="4" fillId="5" borderId="34" xfId="5" applyFont="1" applyFill="1" applyBorder="1" applyAlignment="1" applyProtection="1">
      <alignment horizontal="center" vertical="center"/>
    </xf>
    <xf numFmtId="0" fontId="4" fillId="5" borderId="17" xfId="5" applyFont="1" applyFill="1" applyBorder="1" applyAlignment="1" applyProtection="1">
      <alignment horizontal="center" vertical="center"/>
    </xf>
    <xf numFmtId="0" fontId="4" fillId="5" borderId="6" xfId="5" applyFont="1" applyFill="1" applyBorder="1" applyAlignment="1" applyProtection="1">
      <alignment horizontal="center" vertical="center"/>
    </xf>
    <xf numFmtId="0" fontId="4" fillId="5" borderId="30" xfId="5" applyFont="1" applyFill="1" applyBorder="1" applyAlignment="1" applyProtection="1">
      <alignment horizontal="center" vertical="center"/>
    </xf>
    <xf numFmtId="0" fontId="15" fillId="9" borderId="21" xfId="5" applyFont="1" applyFill="1" applyBorder="1" applyAlignment="1" applyProtection="1">
      <alignment horizontal="center"/>
    </xf>
    <xf numFmtId="0" fontId="15" fillId="9" borderId="23" xfId="5" applyFont="1" applyFill="1" applyBorder="1" applyAlignment="1" applyProtection="1">
      <alignment horizontal="center"/>
    </xf>
    <xf numFmtId="0" fontId="15" fillId="9" borderId="6" xfId="5" applyFont="1" applyFill="1" applyBorder="1" applyProtection="1"/>
    <xf numFmtId="0" fontId="15" fillId="9" borderId="24" xfId="5" applyFont="1" applyFill="1" applyBorder="1" applyAlignment="1" applyProtection="1">
      <alignment horizontal="center"/>
    </xf>
    <xf numFmtId="0" fontId="15" fillId="9" borderId="27" xfId="5" applyFont="1" applyFill="1" applyBorder="1" applyAlignment="1" applyProtection="1">
      <alignment horizontal="center"/>
    </xf>
    <xf numFmtId="0" fontId="22" fillId="8" borderId="6" xfId="0" applyFont="1" applyFill="1" applyBorder="1" applyAlignment="1" applyProtection="1">
      <alignment horizontal="center" vertical="center" shrinkToFit="1"/>
      <protection locked="0"/>
    </xf>
    <xf numFmtId="0" fontId="15" fillId="9" borderId="18" xfId="5" applyFont="1" applyFill="1" applyBorder="1" applyProtection="1"/>
    <xf numFmtId="0" fontId="15" fillId="9" borderId="19" xfId="5" applyFont="1" applyFill="1" applyBorder="1" applyProtection="1"/>
    <xf numFmtId="0" fontId="15" fillId="9" borderId="37" xfId="5" applyFont="1" applyFill="1" applyBorder="1" applyAlignment="1" applyProtection="1">
      <alignment horizontal="center"/>
    </xf>
    <xf numFmtId="0" fontId="15" fillId="9" borderId="35" xfId="5" applyFont="1" applyFill="1" applyBorder="1" applyAlignment="1" applyProtection="1">
      <alignment horizontal="center"/>
    </xf>
    <xf numFmtId="0" fontId="15" fillId="9" borderId="33" xfId="5" applyFont="1" applyFill="1" applyBorder="1" applyAlignment="1" applyProtection="1">
      <alignment horizontal="center"/>
    </xf>
    <xf numFmtId="0" fontId="15" fillId="9" borderId="34" xfId="5" applyFont="1" applyFill="1" applyBorder="1" applyAlignment="1" applyProtection="1">
      <alignment horizontal="center"/>
    </xf>
    <xf numFmtId="44" fontId="2" fillId="2" borderId="18" xfId="5" applyNumberFormat="1" applyFont="1" applyFill="1" applyBorder="1" applyAlignment="1" applyProtection="1">
      <alignment horizontal="left" vertical="center" wrapText="1"/>
      <protection locked="0"/>
    </xf>
    <xf numFmtId="44" fontId="2" fillId="2" borderId="19" xfId="5" applyNumberFormat="1" applyFont="1" applyFill="1" applyBorder="1" applyAlignment="1" applyProtection="1">
      <alignment horizontal="left" vertical="center" wrapText="1"/>
      <protection locked="0"/>
    </xf>
    <xf numFmtId="0" fontId="2" fillId="0" borderId="100" xfId="5" applyFont="1" applyBorder="1" applyAlignment="1" applyProtection="1">
      <alignment horizontal="center"/>
    </xf>
    <xf numFmtId="0" fontId="4" fillId="5" borderId="31" xfId="5" applyFont="1" applyFill="1" applyBorder="1" applyAlignment="1" applyProtection="1">
      <alignment horizontal="center" vertical="center"/>
    </xf>
    <xf numFmtId="0" fontId="4" fillId="5" borderId="32" xfId="5" applyFont="1" applyFill="1" applyBorder="1" applyAlignment="1" applyProtection="1">
      <alignment horizontal="center" vertical="center"/>
    </xf>
    <xf numFmtId="0" fontId="4" fillId="5" borderId="28" xfId="5" applyFont="1" applyFill="1" applyBorder="1" applyAlignment="1" applyProtection="1">
      <alignment horizontal="center" vertical="center"/>
    </xf>
    <xf numFmtId="0" fontId="4" fillId="5" borderId="1" xfId="5" applyFont="1" applyFill="1" applyBorder="1" applyAlignment="1" applyProtection="1">
      <alignment horizontal="center" vertical="center"/>
    </xf>
    <xf numFmtId="0" fontId="4" fillId="5" borderId="0" xfId="5" applyFont="1" applyFill="1" applyBorder="1" applyAlignment="1" applyProtection="1">
      <alignment horizontal="center" vertical="center"/>
    </xf>
    <xf numFmtId="0" fontId="4" fillId="5" borderId="2" xfId="5" applyFont="1" applyFill="1" applyBorder="1" applyAlignment="1" applyProtection="1">
      <alignment horizontal="center" vertical="center"/>
    </xf>
    <xf numFmtId="0" fontId="15" fillId="9" borderId="38" xfId="5" applyFont="1" applyFill="1" applyBorder="1" applyProtection="1"/>
    <xf numFmtId="0" fontId="15" fillId="9" borderId="39" xfId="5" applyFont="1" applyFill="1" applyBorder="1" applyProtection="1"/>
    <xf numFmtId="0" fontId="15" fillId="9" borderId="40" xfId="5" applyFont="1" applyFill="1" applyBorder="1" applyProtection="1"/>
    <xf numFmtId="0" fontId="2" fillId="2" borderId="17" xfId="5" applyFont="1" applyFill="1" applyBorder="1" applyAlignment="1" applyProtection="1">
      <alignment horizontal="left" vertical="top" wrapText="1"/>
      <protection locked="0"/>
    </xf>
    <xf numFmtId="0" fontId="2" fillId="2" borderId="6" xfId="5" applyFont="1" applyFill="1" applyBorder="1" applyAlignment="1" applyProtection="1">
      <alignment horizontal="left" vertical="top" wrapText="1"/>
      <protection locked="0"/>
    </xf>
    <xf numFmtId="0" fontId="2" fillId="2" borderId="30" xfId="5" applyFont="1" applyFill="1" applyBorder="1" applyAlignment="1" applyProtection="1">
      <alignment horizontal="left" vertical="top" wrapText="1"/>
      <protection locked="0"/>
    </xf>
    <xf numFmtId="0" fontId="15" fillId="9" borderId="17" xfId="5" applyFont="1" applyFill="1" applyBorder="1" applyProtection="1"/>
    <xf numFmtId="0" fontId="15" fillId="9" borderId="30" xfId="5" applyFont="1" applyFill="1" applyBorder="1" applyProtection="1"/>
    <xf numFmtId="0" fontId="38" fillId="2" borderId="17" xfId="2" applyFill="1" applyBorder="1" applyAlignment="1" applyProtection="1">
      <alignment horizontal="left" vertical="top" wrapText="1"/>
      <protection locked="0"/>
    </xf>
    <xf numFmtId="49" fontId="2" fillId="2" borderId="41" xfId="5" applyNumberFormat="1" applyFont="1" applyFill="1" applyBorder="1" applyAlignment="1" applyProtection="1">
      <alignment horizontal="left" vertical="top" wrapText="1"/>
      <protection locked="0"/>
    </xf>
    <xf numFmtId="49" fontId="2" fillId="2" borderId="42" xfId="5" applyNumberFormat="1" applyFont="1" applyFill="1" applyBorder="1" applyAlignment="1" applyProtection="1">
      <alignment horizontal="left" vertical="top" wrapText="1"/>
      <protection locked="0"/>
    </xf>
    <xf numFmtId="49" fontId="2" fillId="2" borderId="43" xfId="5" applyNumberFormat="1" applyFont="1" applyFill="1" applyBorder="1" applyAlignment="1" applyProtection="1">
      <alignment horizontal="left" vertical="top" wrapText="1"/>
      <protection locked="0"/>
    </xf>
    <xf numFmtId="0" fontId="2" fillId="2" borderId="41" xfId="5" applyFont="1" applyFill="1" applyBorder="1" applyAlignment="1" applyProtection="1">
      <alignment horizontal="left" vertical="top" wrapText="1"/>
      <protection locked="0"/>
    </xf>
    <xf numFmtId="0" fontId="2" fillId="2" borderId="42" xfId="5" applyFont="1" applyFill="1" applyBorder="1" applyAlignment="1" applyProtection="1">
      <alignment horizontal="left" vertical="top" wrapText="1"/>
      <protection locked="0"/>
    </xf>
    <xf numFmtId="0" fontId="2" fillId="2" borderId="43" xfId="5" applyFont="1" applyFill="1" applyBorder="1" applyAlignment="1" applyProtection="1">
      <alignment horizontal="left" vertical="top" wrapText="1"/>
      <protection locked="0"/>
    </xf>
    <xf numFmtId="0" fontId="15" fillId="9" borderId="44" xfId="5" applyFont="1" applyFill="1" applyBorder="1" applyProtection="1"/>
    <xf numFmtId="0" fontId="2" fillId="2" borderId="45" xfId="5" applyFont="1" applyFill="1" applyBorder="1" applyAlignment="1" applyProtection="1">
      <alignment horizontal="left" vertical="top" wrapText="1"/>
      <protection locked="0"/>
    </xf>
    <xf numFmtId="0" fontId="15" fillId="9" borderId="45" xfId="5" applyFont="1" applyFill="1" applyBorder="1" applyProtection="1"/>
    <xf numFmtId="0" fontId="38" fillId="2" borderId="45" xfId="2" applyFill="1" applyBorder="1" applyAlignment="1" applyProtection="1">
      <alignment horizontal="left" vertical="top" wrapText="1"/>
      <protection locked="0"/>
    </xf>
    <xf numFmtId="0" fontId="15" fillId="9" borderId="35" xfId="5" applyFont="1" applyFill="1" applyBorder="1" applyProtection="1"/>
    <xf numFmtId="0" fontId="15" fillId="9" borderId="36" xfId="5" applyFont="1" applyFill="1" applyBorder="1" applyProtection="1"/>
    <xf numFmtId="0" fontId="15" fillId="9" borderId="34" xfId="5" applyFont="1" applyFill="1" applyBorder="1" applyProtection="1"/>
    <xf numFmtId="0" fontId="15" fillId="9" borderId="46" xfId="5" applyFont="1" applyFill="1" applyBorder="1" applyProtection="1"/>
    <xf numFmtId="0" fontId="2" fillId="2" borderId="47" xfId="5" applyFont="1" applyFill="1" applyBorder="1" applyAlignment="1" applyProtection="1">
      <alignment horizontal="left" vertical="top" wrapText="1"/>
      <protection locked="0"/>
    </xf>
    <xf numFmtId="0" fontId="16" fillId="2" borderId="25" xfId="5" applyFont="1" applyFill="1" applyBorder="1" applyAlignment="1" applyProtection="1">
      <alignment horizontal="left" vertical="center" wrapText="1"/>
    </xf>
    <xf numFmtId="0" fontId="16" fillId="2" borderId="21" xfId="5" applyFont="1" applyFill="1" applyBorder="1" applyAlignment="1" applyProtection="1">
      <alignment horizontal="left" vertical="center" wrapText="1"/>
    </xf>
    <xf numFmtId="0" fontId="16" fillId="2" borderId="24" xfId="5" applyFont="1" applyFill="1" applyBorder="1" applyAlignment="1" applyProtection="1">
      <alignment horizontal="left" vertical="center" wrapText="1"/>
    </xf>
    <xf numFmtId="0" fontId="16" fillId="2" borderId="1" xfId="5" applyFont="1" applyFill="1" applyBorder="1" applyAlignment="1" applyProtection="1">
      <alignment horizontal="left" vertical="center" wrapText="1"/>
    </xf>
    <xf numFmtId="0" fontId="16" fillId="2" borderId="0" xfId="5" applyFont="1" applyFill="1" applyBorder="1" applyAlignment="1" applyProtection="1">
      <alignment horizontal="left" vertical="center" wrapText="1"/>
    </xf>
    <xf numFmtId="0" fontId="16" fillId="2" borderId="2" xfId="5" applyFont="1" applyFill="1" applyBorder="1" applyAlignment="1" applyProtection="1">
      <alignment horizontal="left" vertical="center" wrapText="1"/>
    </xf>
    <xf numFmtId="0" fontId="16" fillId="2" borderId="26" xfId="5" applyFont="1" applyFill="1" applyBorder="1" applyAlignment="1" applyProtection="1">
      <alignment horizontal="left" vertical="center" wrapText="1"/>
    </xf>
    <xf numFmtId="0" fontId="16" fillId="2" borderId="23" xfId="5" applyFont="1" applyFill="1" applyBorder="1" applyAlignment="1" applyProtection="1">
      <alignment horizontal="left" vertical="center" wrapText="1"/>
    </xf>
    <xf numFmtId="0" fontId="16" fillId="2" borderId="27" xfId="5" applyFont="1" applyFill="1" applyBorder="1" applyAlignment="1" applyProtection="1">
      <alignment horizontal="left" vertical="center" wrapText="1"/>
    </xf>
    <xf numFmtId="0" fontId="15" fillId="9" borderId="48" xfId="5" applyFont="1" applyFill="1" applyBorder="1" applyProtection="1"/>
    <xf numFmtId="0" fontId="15" fillId="9" borderId="25" xfId="5" applyFont="1" applyFill="1" applyBorder="1" applyAlignment="1" applyProtection="1">
      <alignment horizontal="center"/>
    </xf>
    <xf numFmtId="0" fontId="15" fillId="9" borderId="26" xfId="5" applyFont="1" applyFill="1" applyBorder="1" applyAlignment="1" applyProtection="1">
      <alignment horizontal="center"/>
    </xf>
    <xf numFmtId="0" fontId="15" fillId="9" borderId="6" xfId="5" applyFont="1" applyFill="1" applyBorder="1" applyAlignment="1" applyProtection="1">
      <alignment horizontal="left"/>
    </xf>
    <xf numFmtId="0" fontId="15" fillId="9" borderId="50" xfId="5" applyFont="1" applyFill="1" applyBorder="1" applyAlignment="1" applyProtection="1">
      <alignment horizontal="center"/>
    </xf>
    <xf numFmtId="0" fontId="15" fillId="9" borderId="36" xfId="5" applyFont="1" applyFill="1" applyBorder="1" applyAlignment="1" applyProtection="1">
      <alignment horizontal="center"/>
    </xf>
    <xf numFmtId="0" fontId="15" fillId="9" borderId="18" xfId="5" applyFont="1" applyFill="1" applyBorder="1" applyAlignment="1" applyProtection="1">
      <alignment horizontal="left"/>
    </xf>
    <xf numFmtId="0" fontId="15" fillId="9" borderId="19" xfId="5" applyFont="1" applyFill="1" applyBorder="1" applyAlignment="1" applyProtection="1">
      <alignment horizontal="left"/>
    </xf>
    <xf numFmtId="0" fontId="2" fillId="2" borderId="19" xfId="5" applyFont="1" applyFill="1" applyBorder="1" applyAlignment="1" applyProtection="1">
      <alignment horizontal="left" vertical="top" wrapText="1"/>
    </xf>
    <xf numFmtId="0" fontId="2" fillId="2" borderId="6" xfId="5" applyFont="1" applyFill="1" applyBorder="1" applyAlignment="1" applyProtection="1">
      <alignment horizontal="left" vertical="top" wrapText="1"/>
    </xf>
    <xf numFmtId="0" fontId="2" fillId="2" borderId="30" xfId="5" applyFont="1" applyFill="1" applyBorder="1" applyAlignment="1" applyProtection="1">
      <alignment horizontal="left" vertical="top" wrapText="1"/>
    </xf>
    <xf numFmtId="0" fontId="2" fillId="2" borderId="49" xfId="5" applyFont="1" applyFill="1" applyBorder="1" applyAlignment="1" applyProtection="1">
      <alignment horizontal="left" vertical="top" wrapText="1"/>
    </xf>
    <xf numFmtId="0" fontId="2" fillId="2" borderId="42" xfId="5" applyFont="1" applyFill="1" applyBorder="1" applyAlignment="1" applyProtection="1">
      <alignment horizontal="left" vertical="top" wrapText="1"/>
    </xf>
    <xf numFmtId="0" fontId="2" fillId="2" borderId="43" xfId="5" applyFont="1" applyFill="1" applyBorder="1" applyAlignment="1" applyProtection="1">
      <alignment horizontal="left" vertical="top" wrapText="1"/>
    </xf>
    <xf numFmtId="0" fontId="2" fillId="11" borderId="41" xfId="5" applyFont="1" applyFill="1" applyBorder="1" applyAlignment="1" applyProtection="1">
      <alignment horizontal="left" vertical="top" wrapText="1"/>
    </xf>
    <xf numFmtId="0" fontId="2" fillId="11" borderId="42" xfId="5" applyFont="1" applyFill="1" applyBorder="1" applyAlignment="1" applyProtection="1">
      <alignment horizontal="left" vertical="top" wrapText="1"/>
    </xf>
    <xf numFmtId="164" fontId="2" fillId="11" borderId="42" xfId="5" applyNumberFormat="1" applyFont="1" applyFill="1" applyBorder="1" applyAlignment="1" applyProtection="1">
      <alignment horizontal="right" vertical="top" wrapText="1"/>
    </xf>
    <xf numFmtId="164" fontId="2" fillId="11" borderId="43" xfId="5" applyNumberFormat="1" applyFont="1" applyFill="1" applyBorder="1" applyAlignment="1" applyProtection="1">
      <alignment horizontal="right" vertical="top" wrapText="1"/>
    </xf>
    <xf numFmtId="0" fontId="19" fillId="0" borderId="0" xfId="5" applyFont="1" applyBorder="1" applyAlignment="1" applyProtection="1">
      <alignment horizontal="center" wrapText="1"/>
    </xf>
    <xf numFmtId="0" fontId="2" fillId="0" borderId="0" xfId="5" applyBorder="1" applyProtection="1"/>
    <xf numFmtId="0" fontId="39" fillId="2" borderId="31" xfId="5" applyFont="1" applyFill="1" applyBorder="1" applyAlignment="1" applyProtection="1">
      <alignment horizontal="center" vertical="center" wrapText="1"/>
    </xf>
    <xf numFmtId="0" fontId="39" fillId="2" borderId="32" xfId="5" applyFont="1" applyFill="1" applyBorder="1" applyAlignment="1" applyProtection="1">
      <alignment horizontal="center" vertical="center" wrapText="1"/>
    </xf>
    <xf numFmtId="0" fontId="39" fillId="2" borderId="28" xfId="5" applyFont="1" applyFill="1" applyBorder="1" applyAlignment="1" applyProtection="1">
      <alignment horizontal="center" vertical="center" wrapText="1"/>
    </xf>
    <xf numFmtId="0" fontId="39" fillId="2" borderId="1" xfId="5" applyFont="1" applyFill="1" applyBorder="1" applyAlignment="1" applyProtection="1">
      <alignment horizontal="center" vertical="center" wrapText="1"/>
    </xf>
    <xf numFmtId="0" fontId="39" fillId="2" borderId="0" xfId="5" applyFont="1" applyFill="1" applyBorder="1" applyAlignment="1" applyProtection="1">
      <alignment horizontal="center" vertical="center" wrapText="1"/>
    </xf>
    <xf numFmtId="0" fontId="39" fillId="2" borderId="2" xfId="5" applyFont="1" applyFill="1" applyBorder="1" applyAlignment="1" applyProtection="1">
      <alignment horizontal="center" vertical="center" wrapText="1"/>
    </xf>
    <xf numFmtId="0" fontId="39" fillId="2" borderId="3" xfId="5" applyFont="1" applyFill="1" applyBorder="1" applyAlignment="1" applyProtection="1">
      <alignment horizontal="center" vertical="center" wrapText="1"/>
    </xf>
    <xf numFmtId="0" fontId="39" fillId="2" borderId="4" xfId="5" applyFont="1" applyFill="1" applyBorder="1" applyAlignment="1" applyProtection="1">
      <alignment horizontal="center" vertical="center" wrapText="1"/>
    </xf>
    <xf numFmtId="0" fontId="39" fillId="2" borderId="5" xfId="5" applyFont="1" applyFill="1" applyBorder="1" applyAlignment="1" applyProtection="1">
      <alignment horizontal="center" vertical="center" wrapText="1"/>
    </xf>
    <xf numFmtId="0" fontId="2" fillId="11" borderId="51" xfId="5" applyFont="1" applyFill="1" applyBorder="1" applyAlignment="1" applyProtection="1">
      <alignment horizontal="left" vertical="top" wrapText="1"/>
    </xf>
    <xf numFmtId="0" fontId="2" fillId="11" borderId="52" xfId="5" applyFont="1" applyFill="1" applyBorder="1" applyAlignment="1" applyProtection="1">
      <alignment horizontal="left" vertical="top" wrapText="1"/>
    </xf>
    <xf numFmtId="164" fontId="2" fillId="11" borderId="52" xfId="5" applyNumberFormat="1" applyFont="1" applyFill="1" applyBorder="1" applyAlignment="1" applyProtection="1">
      <alignment horizontal="right" vertical="top" wrapText="1"/>
    </xf>
    <xf numFmtId="164" fontId="2" fillId="11" borderId="53" xfId="5" applyNumberFormat="1" applyFont="1" applyFill="1" applyBorder="1" applyAlignment="1" applyProtection="1">
      <alignment horizontal="right" vertical="top" wrapText="1"/>
    </xf>
    <xf numFmtId="0" fontId="15" fillId="0" borderId="41" xfId="0" applyFont="1" applyFill="1" applyBorder="1" applyAlignment="1" applyProtection="1">
      <alignment horizontal="center"/>
    </xf>
    <xf numFmtId="0" fontId="15" fillId="0" borderId="42" xfId="0" applyFont="1" applyFill="1" applyBorder="1" applyAlignment="1" applyProtection="1">
      <alignment horizontal="center"/>
    </xf>
    <xf numFmtId="44" fontId="15" fillId="0" borderId="42" xfId="0" applyNumberFormat="1" applyFont="1" applyFill="1" applyBorder="1" applyAlignment="1" applyProtection="1">
      <alignment horizontal="center"/>
    </xf>
    <xf numFmtId="44" fontId="15" fillId="0" borderId="43" xfId="0" applyNumberFormat="1" applyFont="1" applyFill="1" applyBorder="1" applyAlignment="1" applyProtection="1">
      <alignment horizontal="center"/>
    </xf>
    <xf numFmtId="0" fontId="2" fillId="21" borderId="25" xfId="0" applyFont="1" applyFill="1" applyBorder="1" applyAlignment="1" applyProtection="1">
      <alignment horizontal="left" vertical="center" wrapText="1"/>
    </xf>
    <xf numFmtId="0" fontId="2" fillId="21" borderId="21" xfId="0" applyFont="1" applyFill="1" applyBorder="1" applyAlignment="1" applyProtection="1">
      <alignment horizontal="left" vertical="center" wrapText="1"/>
    </xf>
    <xf numFmtId="0" fontId="2" fillId="21" borderId="24" xfId="0" applyFont="1" applyFill="1" applyBorder="1" applyAlignment="1" applyProtection="1">
      <alignment horizontal="left" vertical="center" wrapText="1"/>
    </xf>
    <xf numFmtId="0" fontId="2" fillId="21" borderId="1" xfId="0" applyFont="1" applyFill="1" applyBorder="1" applyAlignment="1" applyProtection="1">
      <alignment horizontal="left" vertical="center" wrapText="1"/>
    </xf>
    <xf numFmtId="0" fontId="2" fillId="21" borderId="0" xfId="0" applyFont="1" applyFill="1" applyBorder="1" applyAlignment="1" applyProtection="1">
      <alignment horizontal="left" vertical="center" wrapText="1"/>
    </xf>
    <xf numFmtId="0" fontId="2" fillId="21" borderId="2" xfId="0" applyFont="1" applyFill="1" applyBorder="1" applyAlignment="1" applyProtection="1">
      <alignment horizontal="left" vertical="center" wrapText="1"/>
    </xf>
    <xf numFmtId="0" fontId="2" fillId="21" borderId="26" xfId="0" applyFont="1" applyFill="1" applyBorder="1" applyAlignment="1" applyProtection="1">
      <alignment horizontal="left" vertical="center" wrapText="1"/>
    </xf>
    <xf numFmtId="0" fontId="2" fillId="21" borderId="23" xfId="0" applyFont="1" applyFill="1" applyBorder="1" applyAlignment="1" applyProtection="1">
      <alignment horizontal="left" vertical="center" wrapText="1"/>
    </xf>
    <xf numFmtId="0" fontId="2" fillId="21" borderId="27" xfId="0" applyFont="1" applyFill="1" applyBorder="1" applyAlignment="1" applyProtection="1">
      <alignment horizontal="left" vertical="center" wrapText="1"/>
    </xf>
    <xf numFmtId="0" fontId="2" fillId="0" borderId="17"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15" fillId="21" borderId="25" xfId="0" applyFont="1" applyFill="1" applyBorder="1" applyAlignment="1" applyProtection="1">
      <alignment horizontal="center" vertical="center" wrapText="1" shrinkToFit="1"/>
    </xf>
    <xf numFmtId="0" fontId="15" fillId="21" borderId="21" xfId="0" applyFont="1" applyFill="1" applyBorder="1" applyAlignment="1" applyProtection="1">
      <alignment horizontal="center" vertical="center" wrapText="1" shrinkToFit="1"/>
    </xf>
    <xf numFmtId="0" fontId="15" fillId="21" borderId="24" xfId="0" applyFont="1" applyFill="1" applyBorder="1" applyAlignment="1" applyProtection="1">
      <alignment horizontal="center" vertical="center" wrapText="1" shrinkToFit="1"/>
    </xf>
    <xf numFmtId="0" fontId="15" fillId="21" borderId="26" xfId="0" applyFont="1" applyFill="1" applyBorder="1" applyAlignment="1" applyProtection="1">
      <alignment horizontal="center" vertical="center" wrapText="1" shrinkToFit="1"/>
    </xf>
    <xf numFmtId="0" fontId="15" fillId="21" borderId="23" xfId="0" applyFont="1" applyFill="1" applyBorder="1" applyAlignment="1" applyProtection="1">
      <alignment horizontal="center" vertical="center" wrapText="1" shrinkToFit="1"/>
    </xf>
    <xf numFmtId="0" fontId="15" fillId="21" borderId="27" xfId="0" applyFont="1" applyFill="1" applyBorder="1" applyAlignment="1" applyProtection="1">
      <alignment horizontal="center" vertical="center" wrapText="1" shrinkToFit="1"/>
    </xf>
    <xf numFmtId="0" fontId="2" fillId="21" borderId="25" xfId="0" applyFont="1" applyFill="1" applyBorder="1" applyAlignment="1" applyProtection="1">
      <alignment horizontal="left" vertical="top" wrapText="1"/>
    </xf>
    <xf numFmtId="0" fontId="2" fillId="21" borderId="21" xfId="0" applyFont="1" applyFill="1" applyBorder="1" applyAlignment="1" applyProtection="1">
      <alignment horizontal="left" vertical="top" wrapText="1"/>
    </xf>
    <xf numFmtId="0" fontId="2" fillId="21" borderId="24" xfId="0" applyFont="1" applyFill="1" applyBorder="1" applyAlignment="1" applyProtection="1">
      <alignment horizontal="left" vertical="top" wrapText="1"/>
    </xf>
    <xf numFmtId="0" fontId="2" fillId="21" borderId="1" xfId="0" applyFont="1" applyFill="1" applyBorder="1" applyAlignment="1" applyProtection="1">
      <alignment horizontal="left" vertical="top" wrapText="1"/>
    </xf>
    <xf numFmtId="0" fontId="2" fillId="21" borderId="0" xfId="0" applyFont="1" applyFill="1" applyBorder="1" applyAlignment="1" applyProtection="1">
      <alignment horizontal="left" vertical="top" wrapText="1"/>
    </xf>
    <xf numFmtId="0" fontId="2" fillId="21" borderId="2" xfId="0" applyFont="1" applyFill="1" applyBorder="1" applyAlignment="1" applyProtection="1">
      <alignment horizontal="left" vertical="top" wrapText="1"/>
    </xf>
    <xf numFmtId="0" fontId="2" fillId="21" borderId="26" xfId="0" applyFont="1" applyFill="1" applyBorder="1" applyAlignment="1" applyProtection="1">
      <alignment horizontal="left" vertical="top" wrapText="1"/>
    </xf>
    <xf numFmtId="0" fontId="2" fillId="21" borderId="23" xfId="0" applyFont="1" applyFill="1" applyBorder="1" applyAlignment="1" applyProtection="1">
      <alignment horizontal="left" vertical="top" wrapText="1"/>
    </xf>
    <xf numFmtId="0" fontId="2" fillId="21" borderId="27" xfId="0" applyFont="1" applyFill="1" applyBorder="1" applyAlignment="1" applyProtection="1">
      <alignment horizontal="left" vertical="top" wrapText="1"/>
    </xf>
    <xf numFmtId="0" fontId="15" fillId="8" borderId="35" xfId="5" applyFont="1" applyFill="1" applyBorder="1" applyAlignment="1" applyProtection="1">
      <alignment horizontal="left" vertical="top" wrapText="1"/>
    </xf>
    <xf numFmtId="0" fontId="15" fillId="8" borderId="36" xfId="5" applyFont="1" applyFill="1" applyBorder="1" applyAlignment="1" applyProtection="1">
      <alignment horizontal="left" vertical="top" wrapText="1"/>
    </xf>
    <xf numFmtId="44" fontId="15" fillId="8" borderId="36" xfId="5" applyNumberFormat="1" applyFont="1" applyFill="1" applyBorder="1" applyAlignment="1" applyProtection="1">
      <alignment horizontal="right" vertical="top" wrapText="1"/>
    </xf>
    <xf numFmtId="44" fontId="15" fillId="8" borderId="34" xfId="5" applyNumberFormat="1" applyFont="1" applyFill="1" applyBorder="1" applyAlignment="1" applyProtection="1">
      <alignment horizontal="right" vertical="top" wrapText="1"/>
    </xf>
    <xf numFmtId="0" fontId="15" fillId="8" borderId="98" xfId="5" applyFont="1" applyFill="1" applyBorder="1" applyAlignment="1" applyProtection="1">
      <alignment horizontal="center" vertical="top" wrapText="1"/>
    </xf>
    <xf numFmtId="0" fontId="15" fillId="8" borderId="99" xfId="5" applyFont="1" applyFill="1" applyBorder="1" applyAlignment="1" applyProtection="1">
      <alignment horizontal="center" vertical="top" wrapText="1"/>
    </xf>
    <xf numFmtId="0" fontId="15" fillId="8" borderId="103" xfId="5" applyFont="1" applyFill="1" applyBorder="1" applyAlignment="1" applyProtection="1">
      <alignment horizontal="center" vertical="top" wrapText="1"/>
    </xf>
    <xf numFmtId="0" fontId="15" fillId="8" borderId="39" xfId="5" applyNumberFormat="1" applyFont="1" applyFill="1" applyBorder="1" applyAlignment="1" applyProtection="1">
      <alignment horizontal="right" vertical="top" wrapText="1"/>
      <protection locked="0"/>
    </xf>
    <xf numFmtId="0" fontId="15" fillId="8" borderId="40" xfId="5" applyNumberFormat="1" applyFont="1" applyFill="1" applyBorder="1" applyAlignment="1" applyProtection="1">
      <alignment horizontal="right" vertical="top" wrapText="1"/>
      <protection locked="0"/>
    </xf>
    <xf numFmtId="0" fontId="15" fillId="21" borderId="1" xfId="0" applyFont="1" applyFill="1" applyBorder="1" applyAlignment="1" applyProtection="1">
      <alignment horizontal="center" vertical="center" wrapText="1" shrinkToFit="1"/>
    </xf>
    <xf numFmtId="0" fontId="15" fillId="21" borderId="0" xfId="0" applyFont="1" applyFill="1" applyBorder="1" applyAlignment="1" applyProtection="1">
      <alignment horizontal="center" vertical="center" wrapText="1" shrinkToFit="1"/>
    </xf>
    <xf numFmtId="0" fontId="15" fillId="21" borderId="2" xfId="0" applyFont="1" applyFill="1" applyBorder="1" applyAlignment="1" applyProtection="1">
      <alignment horizontal="center" vertical="center" wrapText="1" shrinkToFit="1"/>
    </xf>
    <xf numFmtId="0" fontId="2" fillId="8" borderId="25" xfId="0" applyFont="1" applyFill="1" applyBorder="1" applyAlignment="1" applyProtection="1">
      <alignment horizontal="left" vertical="top" wrapText="1"/>
      <protection locked="0"/>
    </xf>
    <xf numFmtId="0" fontId="2" fillId="8" borderId="21" xfId="0" applyFont="1" applyFill="1" applyBorder="1" applyAlignment="1" applyProtection="1">
      <alignment horizontal="left" vertical="top" wrapText="1"/>
      <protection locked="0"/>
    </xf>
    <xf numFmtId="0" fontId="2" fillId="8" borderId="24" xfId="0" applyFont="1" applyFill="1" applyBorder="1" applyAlignment="1" applyProtection="1">
      <alignment horizontal="left" vertical="top" wrapText="1"/>
      <protection locked="0"/>
    </xf>
    <xf numFmtId="0" fontId="2" fillId="8" borderId="1" xfId="0" applyFont="1" applyFill="1" applyBorder="1" applyAlignment="1" applyProtection="1">
      <alignment horizontal="left" vertical="top" wrapText="1"/>
      <protection locked="0"/>
    </xf>
    <xf numFmtId="0" fontId="2" fillId="8" borderId="0" xfId="0" applyFont="1" applyFill="1" applyBorder="1" applyAlignment="1" applyProtection="1">
      <alignment horizontal="left" vertical="top" wrapText="1"/>
      <protection locked="0"/>
    </xf>
    <xf numFmtId="0" fontId="2" fillId="8" borderId="2" xfId="0" applyFont="1" applyFill="1" applyBorder="1" applyAlignment="1" applyProtection="1">
      <alignment horizontal="left" vertical="top" wrapText="1"/>
      <protection locked="0"/>
    </xf>
    <xf numFmtId="44" fontId="15" fillId="8" borderId="36" xfId="5" applyNumberFormat="1" applyFont="1" applyFill="1" applyBorder="1" applyAlignment="1" applyProtection="1">
      <alignment horizontal="right" vertical="top" wrapText="1"/>
      <protection locked="0"/>
    </xf>
    <xf numFmtId="44" fontId="15" fillId="8" borderId="34" xfId="5" applyNumberFormat="1" applyFont="1" applyFill="1" applyBorder="1" applyAlignment="1" applyProtection="1">
      <alignment horizontal="right" vertical="top" wrapText="1"/>
      <protection locked="0"/>
    </xf>
    <xf numFmtId="0" fontId="6" fillId="16" borderId="31" xfId="0" applyFont="1" applyFill="1" applyBorder="1" applyAlignment="1" applyProtection="1">
      <alignment horizontal="center" vertical="center" wrapText="1" shrinkToFit="1"/>
    </xf>
    <xf numFmtId="0" fontId="6" fillId="16" borderId="32" xfId="0" applyFont="1" applyFill="1" applyBorder="1" applyAlignment="1" applyProtection="1">
      <alignment horizontal="center" vertical="center" wrapText="1" shrinkToFit="1"/>
    </xf>
    <xf numFmtId="0" fontId="6" fillId="16" borderId="28" xfId="0" applyFont="1" applyFill="1" applyBorder="1" applyAlignment="1" applyProtection="1">
      <alignment horizontal="center" vertical="center" wrapText="1" shrinkToFit="1"/>
    </xf>
    <xf numFmtId="0" fontId="6" fillId="16" borderId="1" xfId="0" applyFont="1" applyFill="1" applyBorder="1" applyAlignment="1" applyProtection="1">
      <alignment horizontal="center" vertical="center" wrapText="1" shrinkToFit="1"/>
    </xf>
    <xf numFmtId="0" fontId="6" fillId="16" borderId="0" xfId="0" applyFont="1" applyFill="1" applyBorder="1" applyAlignment="1" applyProtection="1">
      <alignment horizontal="center" vertical="center" wrapText="1" shrinkToFit="1"/>
    </xf>
    <xf numFmtId="0" fontId="6" fillId="16" borderId="2" xfId="0" applyFont="1" applyFill="1" applyBorder="1" applyAlignment="1" applyProtection="1">
      <alignment horizontal="center" vertical="center" wrapText="1" shrinkToFit="1"/>
    </xf>
    <xf numFmtId="0" fontId="2" fillId="16" borderId="25" xfId="0" applyFont="1" applyFill="1" applyBorder="1" applyAlignment="1" applyProtection="1">
      <alignment horizontal="left" vertical="center" wrapText="1" shrinkToFit="1"/>
    </xf>
    <xf numFmtId="0" fontId="2" fillId="16" borderId="21" xfId="0" applyFont="1" applyFill="1" applyBorder="1" applyAlignment="1" applyProtection="1">
      <alignment horizontal="left" vertical="center" wrapText="1" shrinkToFit="1"/>
    </xf>
    <xf numFmtId="0" fontId="2" fillId="16" borderId="24" xfId="0" applyFont="1" applyFill="1" applyBorder="1" applyAlignment="1" applyProtection="1">
      <alignment horizontal="left" vertical="center" wrapText="1" shrinkToFit="1"/>
    </xf>
    <xf numFmtId="0" fontId="2" fillId="16" borderId="1" xfId="0" applyFont="1" applyFill="1" applyBorder="1" applyAlignment="1" applyProtection="1">
      <alignment horizontal="left" vertical="center" wrapText="1" shrinkToFit="1"/>
    </xf>
    <xf numFmtId="0" fontId="2" fillId="16" borderId="0" xfId="0" applyFont="1" applyFill="1" applyBorder="1" applyAlignment="1" applyProtection="1">
      <alignment horizontal="left" vertical="center" wrapText="1" shrinkToFit="1"/>
    </xf>
    <xf numFmtId="0" fontId="2" fillId="16" borderId="2" xfId="0" applyFont="1" applyFill="1" applyBorder="1" applyAlignment="1" applyProtection="1">
      <alignment horizontal="left" vertical="center" wrapText="1" shrinkToFit="1"/>
    </xf>
    <xf numFmtId="0" fontId="2" fillId="16" borderId="26" xfId="0" applyFont="1" applyFill="1" applyBorder="1" applyAlignment="1" applyProtection="1">
      <alignment horizontal="left" vertical="center" wrapText="1" shrinkToFit="1"/>
    </xf>
    <xf numFmtId="0" fontId="2" fillId="16" borderId="23" xfId="0" applyFont="1" applyFill="1" applyBorder="1" applyAlignment="1" applyProtection="1">
      <alignment horizontal="left" vertical="center" wrapText="1" shrinkToFit="1"/>
    </xf>
    <xf numFmtId="0" fontId="2" fillId="16" borderId="27" xfId="0" applyFont="1" applyFill="1" applyBorder="1" applyAlignment="1" applyProtection="1">
      <alignment horizontal="left" vertical="center" wrapText="1" shrinkToFit="1"/>
    </xf>
    <xf numFmtId="0" fontId="15" fillId="19" borderId="101" xfId="5" applyFont="1" applyFill="1" applyBorder="1" applyAlignment="1" applyProtection="1">
      <alignment horizontal="left" vertical="center" wrapText="1"/>
    </xf>
    <xf numFmtId="0" fontId="15" fillId="19" borderId="70" xfId="5" applyFont="1" applyFill="1" applyBorder="1" applyAlignment="1" applyProtection="1">
      <alignment horizontal="left" vertical="center" wrapText="1"/>
    </xf>
    <xf numFmtId="0" fontId="15" fillId="19" borderId="56" xfId="5" applyFont="1" applyFill="1" applyBorder="1" applyAlignment="1" applyProtection="1">
      <alignment horizontal="left" vertical="center" wrapText="1"/>
    </xf>
    <xf numFmtId="0" fontId="15" fillId="19" borderId="57" xfId="5" applyFont="1" applyFill="1" applyBorder="1" applyAlignment="1" applyProtection="1">
      <alignment horizontal="left" vertical="center" wrapText="1"/>
    </xf>
    <xf numFmtId="44" fontId="15" fillId="17" borderId="70" xfId="5" applyNumberFormat="1" applyFont="1" applyFill="1" applyBorder="1" applyAlignment="1" applyProtection="1">
      <alignment vertical="center" wrapText="1"/>
    </xf>
    <xf numFmtId="44" fontId="15" fillId="17" borderId="102" xfId="5" applyNumberFormat="1" applyFont="1" applyFill="1" applyBorder="1" applyAlignment="1" applyProtection="1">
      <alignment vertical="center" wrapText="1"/>
    </xf>
    <xf numFmtId="44" fontId="15" fillId="17" borderId="57" xfId="5" applyNumberFormat="1" applyFont="1" applyFill="1" applyBorder="1" applyAlignment="1" applyProtection="1">
      <alignment vertical="center" wrapText="1"/>
    </xf>
    <xf numFmtId="44" fontId="15" fillId="17" borderId="59" xfId="5" applyNumberFormat="1" applyFont="1" applyFill="1" applyBorder="1" applyAlignment="1" applyProtection="1">
      <alignment vertical="center" wrapText="1"/>
    </xf>
    <xf numFmtId="0" fontId="15" fillId="22" borderId="1" xfId="0" applyFont="1" applyFill="1" applyBorder="1" applyAlignment="1" applyProtection="1">
      <alignment horizontal="center" vertical="center" wrapText="1" shrinkToFit="1"/>
    </xf>
    <xf numFmtId="0" fontId="15" fillId="22" borderId="0" xfId="0" applyFont="1" applyFill="1" applyBorder="1" applyAlignment="1" applyProtection="1">
      <alignment horizontal="center" vertical="center" wrapText="1" shrinkToFit="1"/>
    </xf>
    <xf numFmtId="0" fontId="15" fillId="22" borderId="2" xfId="0" applyFont="1" applyFill="1" applyBorder="1" applyAlignment="1" applyProtection="1">
      <alignment horizontal="center" vertical="center" wrapText="1" shrinkToFit="1"/>
    </xf>
    <xf numFmtId="0" fontId="15" fillId="22" borderId="26" xfId="0" applyFont="1" applyFill="1" applyBorder="1" applyAlignment="1" applyProtection="1">
      <alignment horizontal="center" vertical="center" wrapText="1" shrinkToFit="1"/>
    </xf>
    <xf numFmtId="0" fontId="15" fillId="22" borderId="23" xfId="0" applyFont="1" applyFill="1" applyBorder="1" applyAlignment="1" applyProtection="1">
      <alignment horizontal="center" vertical="center" wrapText="1" shrinkToFit="1"/>
    </xf>
    <xf numFmtId="0" fontId="15" fillId="22" borderId="27" xfId="0" applyFont="1" applyFill="1" applyBorder="1" applyAlignment="1" applyProtection="1">
      <alignment horizontal="center" vertical="center" wrapText="1" shrinkToFit="1"/>
    </xf>
    <xf numFmtId="0" fontId="2" fillId="22" borderId="25" xfId="0" applyFont="1" applyFill="1" applyBorder="1" applyAlignment="1" applyProtection="1">
      <alignment horizontal="left" vertical="center" wrapText="1"/>
    </xf>
    <xf numFmtId="0" fontId="2" fillId="22" borderId="21" xfId="0" applyFont="1" applyFill="1" applyBorder="1" applyAlignment="1" applyProtection="1">
      <alignment horizontal="left" vertical="center" wrapText="1"/>
    </xf>
    <xf numFmtId="0" fontId="2" fillId="22" borderId="24" xfId="0" applyFont="1" applyFill="1" applyBorder="1" applyAlignment="1" applyProtection="1">
      <alignment horizontal="left" vertical="center" wrapText="1"/>
    </xf>
    <xf numFmtId="0" fontId="2" fillId="22" borderId="1" xfId="0" applyFont="1" applyFill="1" applyBorder="1" applyAlignment="1" applyProtection="1">
      <alignment horizontal="left" vertical="center" wrapText="1"/>
    </xf>
    <xf numFmtId="0" fontId="2" fillId="22" borderId="0" xfId="0" applyFont="1" applyFill="1" applyBorder="1" applyAlignment="1" applyProtection="1">
      <alignment horizontal="left" vertical="center" wrapText="1"/>
    </xf>
    <xf numFmtId="0" fontId="2" fillId="22" borderId="2" xfId="0" applyFont="1" applyFill="1" applyBorder="1" applyAlignment="1" applyProtection="1">
      <alignment horizontal="left" vertical="center" wrapText="1"/>
    </xf>
    <xf numFmtId="0" fontId="2" fillId="22" borderId="26" xfId="0" applyFont="1" applyFill="1" applyBorder="1" applyAlignment="1" applyProtection="1">
      <alignment horizontal="left" vertical="center" wrapText="1"/>
    </xf>
    <xf numFmtId="0" fontId="2" fillId="22" borderId="23" xfId="0" applyFont="1" applyFill="1" applyBorder="1" applyAlignment="1" applyProtection="1">
      <alignment horizontal="left" vertical="center" wrapText="1"/>
    </xf>
    <xf numFmtId="0" fontId="2" fillId="22" borderId="27" xfId="0" applyFont="1" applyFill="1" applyBorder="1" applyAlignment="1" applyProtection="1">
      <alignment horizontal="left" vertical="center" wrapText="1"/>
    </xf>
    <xf numFmtId="0" fontId="21" fillId="0" borderId="17" xfId="0" applyFont="1" applyFill="1" applyBorder="1" applyAlignment="1" applyProtection="1">
      <alignment horizontal="left" vertical="top" wrapText="1"/>
      <protection locked="0"/>
    </xf>
    <xf numFmtId="0" fontId="2" fillId="23" borderId="25" xfId="0" applyFont="1" applyFill="1" applyBorder="1" applyAlignment="1" applyProtection="1">
      <alignment horizontal="left" vertical="center" wrapText="1"/>
    </xf>
    <xf numFmtId="0" fontId="2" fillId="23" borderId="21" xfId="0" applyFont="1" applyFill="1" applyBorder="1" applyAlignment="1" applyProtection="1">
      <alignment horizontal="left" vertical="center" wrapText="1"/>
    </xf>
    <xf numFmtId="0" fontId="2" fillId="23" borderId="24" xfId="0" applyFont="1" applyFill="1" applyBorder="1" applyAlignment="1" applyProtection="1">
      <alignment horizontal="left" vertical="center" wrapText="1"/>
    </xf>
    <xf numFmtId="0" fontId="2" fillId="23" borderId="1" xfId="0" applyFont="1" applyFill="1" applyBorder="1" applyAlignment="1" applyProtection="1">
      <alignment horizontal="left" vertical="center" wrapText="1"/>
    </xf>
    <xf numFmtId="0" fontId="2" fillId="23" borderId="0" xfId="0" applyFont="1" applyFill="1" applyBorder="1" applyAlignment="1" applyProtection="1">
      <alignment horizontal="left" vertical="center" wrapText="1"/>
    </xf>
    <xf numFmtId="0" fontId="2" fillId="23" borderId="2" xfId="0" applyFont="1" applyFill="1" applyBorder="1" applyAlignment="1" applyProtection="1">
      <alignment horizontal="left" vertical="center" wrapText="1"/>
    </xf>
    <xf numFmtId="0" fontId="2" fillId="23" borderId="26" xfId="0" applyFont="1" applyFill="1" applyBorder="1" applyAlignment="1" applyProtection="1">
      <alignment horizontal="left" vertical="center" wrapText="1"/>
    </xf>
    <xf numFmtId="0" fontId="2" fillId="23" borderId="23" xfId="0" applyFont="1" applyFill="1" applyBorder="1" applyAlignment="1" applyProtection="1">
      <alignment horizontal="left" vertical="center" wrapText="1"/>
    </xf>
    <xf numFmtId="0" fontId="2" fillId="23" borderId="27" xfId="0" applyFont="1" applyFill="1" applyBorder="1" applyAlignment="1" applyProtection="1">
      <alignment horizontal="left" vertical="center" wrapText="1"/>
    </xf>
    <xf numFmtId="0" fontId="6" fillId="19" borderId="31" xfId="0" applyFont="1" applyFill="1" applyBorder="1" applyAlignment="1" applyProtection="1">
      <alignment horizontal="center" vertical="center" wrapText="1" shrinkToFit="1"/>
    </xf>
    <xf numFmtId="0" fontId="6" fillId="19" borderId="32" xfId="0" applyFont="1" applyFill="1" applyBorder="1" applyAlignment="1" applyProtection="1">
      <alignment horizontal="center" vertical="center" wrapText="1" shrinkToFit="1"/>
    </xf>
    <xf numFmtId="0" fontId="6" fillId="19" borderId="28" xfId="0" applyFont="1" applyFill="1" applyBorder="1" applyAlignment="1" applyProtection="1">
      <alignment horizontal="center" vertical="center" wrapText="1" shrinkToFit="1"/>
    </xf>
    <xf numFmtId="0" fontId="6" fillId="19" borderId="1" xfId="0" applyFont="1" applyFill="1" applyBorder="1" applyAlignment="1" applyProtection="1">
      <alignment horizontal="center" vertical="center" wrapText="1" shrinkToFit="1"/>
    </xf>
    <xf numFmtId="0" fontId="6" fillId="19" borderId="0" xfId="0" applyFont="1" applyFill="1" applyBorder="1" applyAlignment="1" applyProtection="1">
      <alignment horizontal="center" vertical="center" wrapText="1" shrinkToFit="1"/>
    </xf>
    <xf numFmtId="0" fontId="6" fillId="19" borderId="2" xfId="0" applyFont="1" applyFill="1" applyBorder="1" applyAlignment="1" applyProtection="1">
      <alignment horizontal="center" vertical="center" wrapText="1" shrinkToFit="1"/>
    </xf>
    <xf numFmtId="0" fontId="2" fillId="19" borderId="25" xfId="0" applyFont="1" applyFill="1" applyBorder="1" applyAlignment="1" applyProtection="1">
      <alignment horizontal="left" vertical="top" wrapText="1" shrinkToFit="1"/>
    </xf>
    <xf numFmtId="0" fontId="2" fillId="19" borderId="21" xfId="0" applyFont="1" applyFill="1" applyBorder="1" applyAlignment="1" applyProtection="1">
      <alignment horizontal="left" vertical="top" wrapText="1" shrinkToFit="1"/>
    </xf>
    <xf numFmtId="0" fontId="2" fillId="19" borderId="24" xfId="0" applyFont="1" applyFill="1" applyBorder="1" applyAlignment="1" applyProtection="1">
      <alignment horizontal="left" vertical="top" wrapText="1" shrinkToFit="1"/>
    </xf>
    <xf numFmtId="0" fontId="2" fillId="19" borderId="1" xfId="0" applyFont="1" applyFill="1" applyBorder="1" applyAlignment="1" applyProtection="1">
      <alignment horizontal="left" vertical="top" wrapText="1" shrinkToFit="1"/>
    </xf>
    <xf numFmtId="0" fontId="2" fillId="19" borderId="0" xfId="0" applyFont="1" applyFill="1" applyBorder="1" applyAlignment="1" applyProtection="1">
      <alignment horizontal="left" vertical="top" wrapText="1" shrinkToFit="1"/>
    </xf>
    <xf numFmtId="0" fontId="2" fillId="19" borderId="2" xfId="0" applyFont="1" applyFill="1" applyBorder="1" applyAlignment="1" applyProtection="1">
      <alignment horizontal="left" vertical="top" wrapText="1" shrinkToFit="1"/>
    </xf>
    <xf numFmtId="0" fontId="2" fillId="19" borderId="26" xfId="0" applyFont="1" applyFill="1" applyBorder="1" applyAlignment="1" applyProtection="1">
      <alignment horizontal="left" vertical="top" wrapText="1" shrinkToFit="1"/>
    </xf>
    <xf numFmtId="0" fontId="2" fillId="19" borderId="23" xfId="0" applyFont="1" applyFill="1" applyBorder="1" applyAlignment="1" applyProtection="1">
      <alignment horizontal="left" vertical="top" wrapText="1" shrinkToFit="1"/>
    </xf>
    <xf numFmtId="0" fontId="2" fillId="19" borderId="27" xfId="0" applyFont="1" applyFill="1" applyBorder="1" applyAlignment="1" applyProtection="1">
      <alignment horizontal="left" vertical="top" wrapText="1" shrinkToFit="1"/>
    </xf>
    <xf numFmtId="0" fontId="15" fillId="22" borderId="25" xfId="0" applyFont="1" applyFill="1" applyBorder="1" applyAlignment="1" applyProtection="1">
      <alignment horizontal="center" vertical="center" wrapText="1" shrinkToFit="1"/>
    </xf>
    <xf numFmtId="0" fontId="15" fillId="22" borderId="21" xfId="0" applyFont="1" applyFill="1" applyBorder="1" applyAlignment="1" applyProtection="1">
      <alignment horizontal="center" vertical="center" wrapText="1" shrinkToFit="1"/>
    </xf>
    <xf numFmtId="0" fontId="15" fillId="22" borderId="24" xfId="0" applyFont="1" applyFill="1" applyBorder="1" applyAlignment="1" applyProtection="1">
      <alignment horizontal="center" vertical="center" wrapText="1" shrinkToFit="1"/>
    </xf>
    <xf numFmtId="0" fontId="2" fillId="0" borderId="25"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6" fillId="14" borderId="31" xfId="0" applyFont="1" applyFill="1" applyBorder="1" applyAlignment="1" applyProtection="1">
      <alignment horizontal="center" vertical="center" wrapText="1" shrinkToFit="1"/>
    </xf>
    <xf numFmtId="0" fontId="6" fillId="14" borderId="32" xfId="0" applyFont="1" applyFill="1" applyBorder="1" applyAlignment="1" applyProtection="1">
      <alignment horizontal="center" vertical="center" wrapText="1" shrinkToFit="1"/>
    </xf>
    <xf numFmtId="0" fontId="6" fillId="14" borderId="28" xfId="0" applyFont="1" applyFill="1" applyBorder="1" applyAlignment="1" applyProtection="1">
      <alignment horizontal="center" vertical="center" wrapText="1" shrinkToFit="1"/>
    </xf>
    <xf numFmtId="0" fontId="6" fillId="14" borderId="1" xfId="0" applyFont="1" applyFill="1" applyBorder="1" applyAlignment="1" applyProtection="1">
      <alignment horizontal="center" vertical="center" wrapText="1" shrinkToFit="1"/>
    </xf>
    <xf numFmtId="0" fontId="6" fillId="14" borderId="0" xfId="0" applyFont="1" applyFill="1" applyBorder="1" applyAlignment="1" applyProtection="1">
      <alignment horizontal="center" vertical="center" wrapText="1" shrinkToFit="1"/>
    </xf>
    <xf numFmtId="0" fontId="6" fillId="14" borderId="2" xfId="0" applyFont="1" applyFill="1" applyBorder="1" applyAlignment="1" applyProtection="1">
      <alignment horizontal="center" vertical="center" wrapText="1" shrinkToFit="1"/>
    </xf>
    <xf numFmtId="0" fontId="2" fillId="14" borderId="25" xfId="0" applyFont="1" applyFill="1" applyBorder="1" applyAlignment="1" applyProtection="1">
      <alignment horizontal="left" vertical="top" wrapText="1" shrinkToFit="1"/>
    </xf>
    <xf numFmtId="0" fontId="2" fillId="14" borderId="21" xfId="0" applyFont="1" applyFill="1" applyBorder="1" applyAlignment="1" applyProtection="1">
      <alignment horizontal="left" vertical="top" wrapText="1" shrinkToFit="1"/>
    </xf>
    <xf numFmtId="0" fontId="2" fillId="14" borderId="24" xfId="0" applyFont="1" applyFill="1" applyBorder="1" applyAlignment="1" applyProtection="1">
      <alignment horizontal="left" vertical="top" wrapText="1" shrinkToFit="1"/>
    </xf>
    <xf numFmtId="0" fontId="2" fillId="14" borderId="1" xfId="0" applyFont="1" applyFill="1" applyBorder="1" applyAlignment="1" applyProtection="1">
      <alignment horizontal="left" vertical="top" wrapText="1" shrinkToFit="1"/>
    </xf>
    <xf numFmtId="0" fontId="2" fillId="14" borderId="0" xfId="0" applyFont="1" applyFill="1" applyBorder="1" applyAlignment="1" applyProtection="1">
      <alignment horizontal="left" vertical="top" wrapText="1" shrinkToFit="1"/>
    </xf>
    <xf numFmtId="0" fontId="2" fillId="14" borderId="2" xfId="0" applyFont="1" applyFill="1" applyBorder="1" applyAlignment="1" applyProtection="1">
      <alignment horizontal="left" vertical="top" wrapText="1" shrinkToFit="1"/>
    </xf>
    <xf numFmtId="0" fontId="2" fillId="14" borderId="26" xfId="0" applyFont="1" applyFill="1" applyBorder="1" applyAlignment="1" applyProtection="1">
      <alignment horizontal="left" vertical="top" wrapText="1" shrinkToFit="1"/>
    </xf>
    <xf numFmtId="0" fontId="2" fillId="14" borderId="23" xfId="0" applyFont="1" applyFill="1" applyBorder="1" applyAlignment="1" applyProtection="1">
      <alignment horizontal="left" vertical="top" wrapText="1" shrinkToFit="1"/>
    </xf>
    <xf numFmtId="0" fontId="2" fillId="14" borderId="27" xfId="0" applyFont="1" applyFill="1" applyBorder="1" applyAlignment="1" applyProtection="1">
      <alignment horizontal="left" vertical="top" wrapText="1" shrinkToFit="1"/>
    </xf>
    <xf numFmtId="0" fontId="6" fillId="17" borderId="31" xfId="0" applyFont="1" applyFill="1" applyBorder="1" applyAlignment="1" applyProtection="1">
      <alignment horizontal="center" vertical="center" wrapText="1" shrinkToFit="1"/>
    </xf>
    <xf numFmtId="0" fontId="6" fillId="17" borderId="32" xfId="0" applyFont="1" applyFill="1" applyBorder="1" applyAlignment="1" applyProtection="1">
      <alignment horizontal="center" vertical="center" wrapText="1" shrinkToFit="1"/>
    </xf>
    <xf numFmtId="0" fontId="6" fillId="17" borderId="28" xfId="0" applyFont="1" applyFill="1" applyBorder="1" applyAlignment="1" applyProtection="1">
      <alignment horizontal="center" vertical="center" wrapText="1" shrinkToFit="1"/>
    </xf>
    <xf numFmtId="0" fontId="6" fillId="17" borderId="1" xfId="0" applyFont="1" applyFill="1" applyBorder="1" applyAlignment="1" applyProtection="1">
      <alignment horizontal="center" vertical="center" wrapText="1" shrinkToFit="1"/>
    </xf>
    <xf numFmtId="0" fontId="6" fillId="17" borderId="0" xfId="0" applyFont="1" applyFill="1" applyBorder="1" applyAlignment="1" applyProtection="1">
      <alignment horizontal="center" vertical="center" wrapText="1" shrinkToFit="1"/>
    </xf>
    <xf numFmtId="0" fontId="6" fillId="17" borderId="2" xfId="0" applyFont="1" applyFill="1" applyBorder="1" applyAlignment="1" applyProtection="1">
      <alignment horizontal="center" vertical="center" wrapText="1" shrinkToFit="1"/>
    </xf>
    <xf numFmtId="0" fontId="2" fillId="17" borderId="25" xfId="0" applyFont="1" applyFill="1" applyBorder="1" applyAlignment="1" applyProtection="1">
      <alignment horizontal="left" vertical="top" wrapText="1" shrinkToFit="1"/>
    </xf>
    <xf numFmtId="0" fontId="2" fillId="17" borderId="21" xfId="0" applyFont="1" applyFill="1" applyBorder="1" applyAlignment="1" applyProtection="1">
      <alignment horizontal="left" vertical="top" wrapText="1" shrinkToFit="1"/>
    </xf>
    <xf numFmtId="0" fontId="2" fillId="17" borderId="24" xfId="0" applyFont="1" applyFill="1" applyBorder="1" applyAlignment="1" applyProtection="1">
      <alignment horizontal="left" vertical="top" wrapText="1" shrinkToFit="1"/>
    </xf>
    <xf numFmtId="0" fontId="2" fillId="17" borderId="1" xfId="0" applyFont="1" applyFill="1" applyBorder="1" applyAlignment="1" applyProtection="1">
      <alignment horizontal="left" vertical="top" wrapText="1" shrinkToFit="1"/>
    </xf>
    <xf numFmtId="0" fontId="2" fillId="17" borderId="0" xfId="0" applyFont="1" applyFill="1" applyBorder="1" applyAlignment="1" applyProtection="1">
      <alignment horizontal="left" vertical="top" wrapText="1" shrinkToFit="1"/>
    </xf>
    <xf numFmtId="0" fontId="2" fillId="17" borderId="2" xfId="0" applyFont="1" applyFill="1" applyBorder="1" applyAlignment="1" applyProtection="1">
      <alignment horizontal="left" vertical="top" wrapText="1" shrinkToFit="1"/>
    </xf>
    <xf numFmtId="0" fontId="2" fillId="17" borderId="26" xfId="0" applyFont="1" applyFill="1" applyBorder="1" applyAlignment="1" applyProtection="1">
      <alignment horizontal="left" vertical="top" wrapText="1" shrinkToFit="1"/>
    </xf>
    <xf numFmtId="0" fontId="2" fillId="17" borderId="23" xfId="0" applyFont="1" applyFill="1" applyBorder="1" applyAlignment="1" applyProtection="1">
      <alignment horizontal="left" vertical="top" wrapText="1" shrinkToFit="1"/>
    </xf>
    <xf numFmtId="0" fontId="2" fillId="17" borderId="27" xfId="0" applyFont="1" applyFill="1" applyBorder="1" applyAlignment="1" applyProtection="1">
      <alignment horizontal="left" vertical="top" wrapText="1" shrinkToFit="1"/>
    </xf>
    <xf numFmtId="0" fontId="15" fillId="11" borderId="25" xfId="5" applyFont="1" applyFill="1" applyBorder="1" applyAlignment="1" applyProtection="1">
      <alignment horizontal="center" vertical="center" wrapText="1" shrinkToFit="1"/>
    </xf>
    <xf numFmtId="0" fontId="15" fillId="11" borderId="21" xfId="5" applyFont="1" applyFill="1" applyBorder="1" applyAlignment="1" applyProtection="1">
      <alignment horizontal="center" vertical="center" wrapText="1" shrinkToFit="1"/>
    </xf>
    <xf numFmtId="0" fontId="15" fillId="11" borderId="24" xfId="5" applyFont="1" applyFill="1" applyBorder="1" applyAlignment="1" applyProtection="1">
      <alignment horizontal="center" vertical="center" wrapText="1" shrinkToFit="1"/>
    </xf>
    <xf numFmtId="0" fontId="15" fillId="11" borderId="26" xfId="5" applyFont="1" applyFill="1" applyBorder="1" applyAlignment="1" applyProtection="1">
      <alignment horizontal="center" vertical="center" wrapText="1" shrinkToFit="1"/>
    </xf>
    <xf numFmtId="0" fontId="15" fillId="11" borderId="23" xfId="5" applyFont="1" applyFill="1" applyBorder="1" applyAlignment="1" applyProtection="1">
      <alignment horizontal="center" vertical="center" wrapText="1" shrinkToFit="1"/>
    </xf>
    <xf numFmtId="0" fontId="15" fillId="11" borderId="27" xfId="5" applyFont="1" applyFill="1" applyBorder="1" applyAlignment="1" applyProtection="1">
      <alignment horizontal="center" vertical="center" wrapText="1" shrinkToFit="1"/>
    </xf>
    <xf numFmtId="0" fontId="2" fillId="11" borderId="25" xfId="5" applyFont="1" applyFill="1" applyBorder="1" applyAlignment="1" applyProtection="1">
      <alignment horizontal="left" vertical="center" wrapText="1"/>
    </xf>
    <xf numFmtId="0" fontId="2" fillId="11" borderId="21" xfId="5" applyFont="1" applyFill="1" applyBorder="1" applyAlignment="1" applyProtection="1">
      <alignment horizontal="left" vertical="center" wrapText="1"/>
    </xf>
    <xf numFmtId="0" fontId="2" fillId="11" borderId="24" xfId="5" applyFont="1" applyFill="1" applyBorder="1" applyAlignment="1" applyProtection="1">
      <alignment horizontal="left" vertical="center" wrapText="1"/>
    </xf>
    <xf numFmtId="0" fontId="2" fillId="11" borderId="1" xfId="5" applyFont="1" applyFill="1" applyBorder="1" applyAlignment="1" applyProtection="1">
      <alignment horizontal="left" vertical="center" wrapText="1"/>
    </xf>
    <xf numFmtId="0" fontId="2" fillId="11" borderId="0" xfId="5" applyFont="1" applyFill="1" applyBorder="1" applyAlignment="1" applyProtection="1">
      <alignment horizontal="left" vertical="center" wrapText="1"/>
    </xf>
    <xf numFmtId="0" fontId="2" fillId="11" borderId="2" xfId="5" applyFont="1" applyFill="1" applyBorder="1" applyAlignment="1" applyProtection="1">
      <alignment horizontal="left" vertical="center" wrapText="1"/>
    </xf>
    <xf numFmtId="0" fontId="2" fillId="11" borderId="26" xfId="5" applyFont="1" applyFill="1" applyBorder="1" applyAlignment="1" applyProtection="1">
      <alignment horizontal="left" vertical="center" wrapText="1"/>
    </xf>
    <xf numFmtId="0" fontId="2" fillId="11" borderId="23" xfId="5" applyFont="1" applyFill="1" applyBorder="1" applyAlignment="1" applyProtection="1">
      <alignment horizontal="left" vertical="center" wrapText="1"/>
    </xf>
    <xf numFmtId="0" fontId="2" fillId="11" borderId="27" xfId="5" applyFont="1" applyFill="1" applyBorder="1" applyAlignment="1" applyProtection="1">
      <alignment horizontal="left" vertical="center" wrapText="1"/>
    </xf>
    <xf numFmtId="0" fontId="2" fillId="0" borderId="17" xfId="5" applyFont="1" applyFill="1" applyBorder="1" applyAlignment="1" applyProtection="1">
      <alignment horizontal="left" vertical="top" wrapText="1"/>
      <protection locked="0"/>
    </xf>
    <xf numFmtId="0" fontId="2" fillId="0" borderId="6" xfId="5" applyFont="1" applyFill="1" applyBorder="1" applyAlignment="1" applyProtection="1">
      <alignment horizontal="left" vertical="top" wrapText="1"/>
      <protection locked="0"/>
    </xf>
    <xf numFmtId="0" fontId="2" fillId="0" borderId="30" xfId="5" applyFont="1" applyFill="1" applyBorder="1" applyAlignment="1" applyProtection="1">
      <alignment horizontal="left" vertical="top" wrapText="1"/>
      <protection locked="0"/>
    </xf>
    <xf numFmtId="0" fontId="2" fillId="8" borderId="25" xfId="5" applyFont="1" applyFill="1" applyBorder="1" applyAlignment="1" applyProtection="1">
      <alignment horizontal="left" vertical="top" wrapText="1"/>
      <protection locked="0"/>
    </xf>
    <xf numFmtId="0" fontId="2" fillId="8" borderId="21" xfId="5" applyFont="1" applyFill="1" applyBorder="1" applyAlignment="1" applyProtection="1">
      <alignment horizontal="left" vertical="top" wrapText="1"/>
      <protection locked="0"/>
    </xf>
    <xf numFmtId="0" fontId="2" fillId="8" borderId="24" xfId="5" applyFont="1" applyFill="1" applyBorder="1" applyAlignment="1" applyProtection="1">
      <alignment horizontal="left" vertical="top" wrapText="1"/>
      <protection locked="0"/>
    </xf>
    <xf numFmtId="0" fontId="2" fillId="8" borderId="1" xfId="5" applyFont="1" applyFill="1" applyBorder="1" applyAlignment="1" applyProtection="1">
      <alignment horizontal="left" vertical="top" wrapText="1"/>
      <protection locked="0"/>
    </xf>
    <xf numFmtId="0" fontId="2" fillId="8" borderId="0" xfId="5" applyFont="1" applyFill="1" applyBorder="1" applyAlignment="1" applyProtection="1">
      <alignment horizontal="left" vertical="top" wrapText="1"/>
      <protection locked="0"/>
    </xf>
    <xf numFmtId="0" fontId="2" fillId="8" borderId="2" xfId="5" applyFont="1" applyFill="1" applyBorder="1" applyAlignment="1" applyProtection="1">
      <alignment horizontal="left" vertical="top" wrapText="1"/>
      <protection locked="0"/>
    </xf>
    <xf numFmtId="0" fontId="2" fillId="8" borderId="26" xfId="5" applyFont="1" applyFill="1" applyBorder="1" applyAlignment="1" applyProtection="1">
      <alignment horizontal="left" vertical="top" wrapText="1"/>
      <protection locked="0"/>
    </xf>
    <xf numFmtId="0" fontId="2" fillId="8" borderId="23" xfId="5" applyFont="1" applyFill="1" applyBorder="1" applyAlignment="1" applyProtection="1">
      <alignment horizontal="left" vertical="top" wrapText="1"/>
      <protection locked="0"/>
    </xf>
    <xf numFmtId="0" fontId="2" fillId="8" borderId="27" xfId="5" applyFont="1" applyFill="1" applyBorder="1" applyAlignment="1" applyProtection="1">
      <alignment horizontal="left" vertical="top" wrapText="1"/>
      <protection locked="0"/>
    </xf>
    <xf numFmtId="0" fontId="2" fillId="0" borderId="25" xfId="5" applyFont="1" applyFill="1" applyBorder="1" applyAlignment="1" applyProtection="1">
      <alignment horizontal="left" vertical="top" wrapText="1"/>
      <protection locked="0"/>
    </xf>
    <xf numFmtId="0" fontId="2" fillId="0" borderId="21" xfId="5" applyFont="1" applyFill="1" applyBorder="1" applyAlignment="1" applyProtection="1">
      <alignment horizontal="left" vertical="top" wrapText="1"/>
      <protection locked="0"/>
    </xf>
    <xf numFmtId="0" fontId="2" fillId="0" borderId="24" xfId="5" applyFont="1" applyFill="1" applyBorder="1" applyAlignment="1" applyProtection="1">
      <alignment horizontal="left" vertical="top" wrapText="1"/>
      <protection locked="0"/>
    </xf>
    <xf numFmtId="0" fontId="2" fillId="0" borderId="1" xfId="5" applyFont="1" applyFill="1" applyBorder="1" applyAlignment="1" applyProtection="1">
      <alignment horizontal="left" vertical="top" wrapText="1"/>
      <protection locked="0"/>
    </xf>
    <xf numFmtId="0" fontId="2" fillId="0" borderId="0" xfId="5" applyFont="1" applyFill="1" applyBorder="1" applyAlignment="1" applyProtection="1">
      <alignment horizontal="left" vertical="top" wrapText="1"/>
      <protection locked="0"/>
    </xf>
    <xf numFmtId="0" fontId="2" fillId="0" borderId="2" xfId="5" applyFont="1" applyFill="1" applyBorder="1" applyAlignment="1" applyProtection="1">
      <alignment horizontal="left" vertical="top" wrapText="1"/>
      <protection locked="0"/>
    </xf>
    <xf numFmtId="0" fontId="2" fillId="0" borderId="26" xfId="5" applyFont="1" applyFill="1" applyBorder="1" applyAlignment="1" applyProtection="1">
      <alignment horizontal="left" vertical="top" wrapText="1"/>
      <protection locked="0"/>
    </xf>
    <xf numFmtId="0" fontId="2" fillId="0" borderId="23" xfId="5" applyFont="1" applyFill="1" applyBorder="1" applyAlignment="1" applyProtection="1">
      <alignment horizontal="left" vertical="top" wrapText="1"/>
      <protection locked="0"/>
    </xf>
    <xf numFmtId="0" fontId="2" fillId="0" borderId="27" xfId="5" applyFont="1" applyFill="1" applyBorder="1" applyAlignment="1" applyProtection="1">
      <alignment horizontal="left" vertical="top" wrapText="1"/>
      <protection locked="0"/>
    </xf>
    <xf numFmtId="0" fontId="6" fillId="19" borderId="31" xfId="5" applyFont="1" applyFill="1" applyBorder="1" applyAlignment="1" applyProtection="1">
      <alignment horizontal="center" vertical="center" wrapText="1" shrinkToFit="1"/>
    </xf>
    <xf numFmtId="0" fontId="6" fillId="19" borderId="32" xfId="5" applyFont="1" applyFill="1" applyBorder="1" applyAlignment="1" applyProtection="1">
      <alignment horizontal="center" vertical="center" wrapText="1" shrinkToFit="1"/>
    </xf>
    <xf numFmtId="0" fontId="6" fillId="19" borderId="28" xfId="5" applyFont="1" applyFill="1" applyBorder="1" applyAlignment="1" applyProtection="1">
      <alignment horizontal="center" vertical="center" wrapText="1" shrinkToFit="1"/>
    </xf>
    <xf numFmtId="0" fontId="6" fillId="19" borderId="1" xfId="5" applyFont="1" applyFill="1" applyBorder="1" applyAlignment="1" applyProtection="1">
      <alignment horizontal="center" vertical="center" wrapText="1" shrinkToFit="1"/>
    </xf>
    <xf numFmtId="0" fontId="6" fillId="19" borderId="0" xfId="5" applyFont="1" applyFill="1" applyBorder="1" applyAlignment="1" applyProtection="1">
      <alignment horizontal="center" vertical="center" wrapText="1" shrinkToFit="1"/>
    </xf>
    <xf numFmtId="0" fontId="6" fillId="19" borderId="2" xfId="5" applyFont="1" applyFill="1" applyBorder="1" applyAlignment="1" applyProtection="1">
      <alignment horizontal="center" vertical="center" wrapText="1" shrinkToFit="1"/>
    </xf>
    <xf numFmtId="0" fontId="2" fillId="9" borderId="25" xfId="5" applyFont="1" applyFill="1" applyBorder="1" applyAlignment="1" applyProtection="1">
      <alignment horizontal="center" vertical="center" wrapText="1" shrinkToFit="1"/>
    </xf>
    <xf numFmtId="0" fontId="2" fillId="9" borderId="21" xfId="5" applyFont="1" applyFill="1" applyBorder="1" applyAlignment="1" applyProtection="1">
      <alignment horizontal="center" vertical="center" wrapText="1" shrinkToFit="1"/>
    </xf>
    <xf numFmtId="0" fontId="2" fillId="9" borderId="24" xfId="5" applyFont="1" applyFill="1" applyBorder="1" applyAlignment="1" applyProtection="1">
      <alignment horizontal="center" vertical="center" wrapText="1" shrinkToFit="1"/>
    </xf>
    <xf numFmtId="0" fontId="2" fillId="9" borderId="1" xfId="5" applyFont="1" applyFill="1" applyBorder="1" applyAlignment="1" applyProtection="1">
      <alignment horizontal="center" vertical="center" wrapText="1" shrinkToFit="1"/>
    </xf>
    <xf numFmtId="0" fontId="2" fillId="9" borderId="0" xfId="5" applyFont="1" applyFill="1" applyBorder="1" applyAlignment="1" applyProtection="1">
      <alignment horizontal="center" vertical="center" wrapText="1" shrinkToFit="1"/>
    </xf>
    <xf numFmtId="0" fontId="2" fillId="9" borderId="2" xfId="5" applyFont="1" applyFill="1" applyBorder="1" applyAlignment="1" applyProtection="1">
      <alignment horizontal="center" vertical="center" wrapText="1" shrinkToFit="1"/>
    </xf>
    <xf numFmtId="0" fontId="2" fillId="9" borderId="26" xfId="5" applyFont="1" applyFill="1" applyBorder="1" applyAlignment="1" applyProtection="1">
      <alignment horizontal="center" vertical="center" wrapText="1" shrinkToFit="1"/>
    </xf>
    <xf numFmtId="0" fontId="2" fillId="9" borderId="23" xfId="5" applyFont="1" applyFill="1" applyBorder="1" applyAlignment="1" applyProtection="1">
      <alignment horizontal="center" vertical="center" wrapText="1" shrinkToFit="1"/>
    </xf>
    <xf numFmtId="0" fontId="2" fillId="9" borderId="27" xfId="5" applyFont="1" applyFill="1" applyBorder="1" applyAlignment="1" applyProtection="1">
      <alignment horizontal="center" vertical="center" wrapText="1" shrinkToFit="1"/>
    </xf>
    <xf numFmtId="0" fontId="2" fillId="0" borderId="37" xfId="5" applyFont="1" applyFill="1" applyBorder="1" applyAlignment="1" applyProtection="1">
      <alignment horizontal="left" vertical="top" wrapText="1"/>
      <protection locked="0"/>
    </xf>
    <xf numFmtId="0" fontId="2" fillId="0" borderId="50" xfId="5" applyFont="1" applyFill="1" applyBorder="1" applyAlignment="1" applyProtection="1">
      <alignment horizontal="left" vertical="top" wrapText="1"/>
      <protection locked="0"/>
    </xf>
    <xf numFmtId="0" fontId="2" fillId="0" borderId="33" xfId="5" applyFont="1" applyFill="1" applyBorder="1" applyAlignment="1" applyProtection="1">
      <alignment horizontal="left" vertical="top" wrapText="1"/>
      <protection locked="0"/>
    </xf>
    <xf numFmtId="0" fontId="15" fillId="18" borderId="54" xfId="5" applyFont="1" applyFill="1" applyBorder="1" applyAlignment="1" applyProtection="1">
      <alignment horizontal="left" vertical="center" wrapText="1"/>
    </xf>
    <xf numFmtId="0" fontId="15" fillId="18" borderId="55" xfId="5" applyFont="1" applyFill="1" applyBorder="1" applyAlignment="1" applyProtection="1">
      <alignment horizontal="left" vertical="center" wrapText="1"/>
    </xf>
    <xf numFmtId="0" fontId="15" fillId="18" borderId="56" xfId="5" applyFont="1" applyFill="1" applyBorder="1" applyAlignment="1" applyProtection="1">
      <alignment horizontal="left" vertical="center" wrapText="1"/>
    </xf>
    <xf numFmtId="0" fontId="15" fillId="18" borderId="57" xfId="5" applyFont="1" applyFill="1" applyBorder="1" applyAlignment="1" applyProtection="1">
      <alignment horizontal="left" vertical="center" wrapText="1"/>
    </xf>
    <xf numFmtId="44" fontId="15" fillId="18" borderId="55" xfId="5" applyNumberFormat="1" applyFont="1" applyFill="1" applyBorder="1" applyAlignment="1" applyProtection="1">
      <alignment vertical="center" wrapText="1"/>
    </xf>
    <xf numFmtId="44" fontId="15" fillId="18" borderId="58" xfId="5" applyNumberFormat="1" applyFont="1" applyFill="1" applyBorder="1" applyAlignment="1" applyProtection="1">
      <alignment vertical="center" wrapText="1"/>
    </xf>
    <xf numFmtId="44" fontId="15" fillId="18" borderId="57" xfId="5" applyNumberFormat="1" applyFont="1" applyFill="1" applyBorder="1" applyAlignment="1" applyProtection="1">
      <alignment vertical="center" wrapText="1"/>
    </xf>
    <xf numFmtId="44" fontId="15" fillId="18" borderId="59" xfId="5" applyNumberFormat="1" applyFont="1" applyFill="1" applyBorder="1" applyAlignment="1" applyProtection="1">
      <alignment vertical="center" wrapText="1"/>
    </xf>
    <xf numFmtId="0" fontId="15" fillId="8" borderId="35" xfId="5" applyFont="1" applyFill="1" applyBorder="1" applyAlignment="1" applyProtection="1">
      <alignment horizontal="left" vertical="center" wrapText="1"/>
    </xf>
    <xf numFmtId="0" fontId="15" fillId="8" borderId="36" xfId="5" applyFont="1" applyFill="1" applyBorder="1" applyAlignment="1" applyProtection="1">
      <alignment horizontal="left" vertical="center" wrapText="1"/>
    </xf>
    <xf numFmtId="44" fontId="15" fillId="8" borderId="36" xfId="5" applyNumberFormat="1" applyFont="1" applyFill="1" applyBorder="1" applyAlignment="1" applyProtection="1">
      <alignment horizontal="right" vertical="center" wrapText="1"/>
      <protection locked="0"/>
    </xf>
    <xf numFmtId="44" fontId="15" fillId="8" borderId="34" xfId="5" applyNumberFormat="1" applyFont="1" applyFill="1" applyBorder="1" applyAlignment="1" applyProtection="1">
      <alignment horizontal="right" vertical="center" wrapText="1"/>
      <protection locked="0"/>
    </xf>
    <xf numFmtId="0" fontId="15" fillId="11" borderId="56" xfId="5" applyFont="1" applyFill="1" applyBorder="1" applyAlignment="1" applyProtection="1">
      <alignment horizontal="left" vertical="center" wrapText="1"/>
    </xf>
    <xf numFmtId="0" fontId="15" fillId="11" borderId="57" xfId="5" applyFont="1" applyFill="1" applyBorder="1" applyAlignment="1" applyProtection="1">
      <alignment horizontal="left" vertical="center" wrapText="1"/>
    </xf>
    <xf numFmtId="44" fontId="15" fillId="11" borderId="57" xfId="5" applyNumberFormat="1" applyFont="1" applyFill="1" applyBorder="1" applyAlignment="1" applyProtection="1">
      <alignment horizontal="right" vertical="center" wrapText="1"/>
    </xf>
    <xf numFmtId="44" fontId="15" fillId="11" borderId="59" xfId="5" applyNumberFormat="1" applyFont="1" applyFill="1" applyBorder="1" applyAlignment="1" applyProtection="1">
      <alignment horizontal="right" vertical="center" wrapText="1"/>
    </xf>
    <xf numFmtId="0" fontId="2" fillId="9" borderId="25" xfId="0" applyFont="1" applyFill="1" applyBorder="1" applyAlignment="1" applyProtection="1">
      <alignment horizontal="center" vertical="center" wrapText="1" shrinkToFit="1"/>
    </xf>
    <xf numFmtId="0" fontId="2" fillId="9" borderId="21" xfId="0" applyFont="1" applyFill="1" applyBorder="1" applyAlignment="1" applyProtection="1">
      <alignment horizontal="center" vertical="center" wrapText="1" shrinkToFit="1"/>
    </xf>
    <xf numFmtId="0" fontId="2" fillId="9" borderId="24" xfId="0" applyFont="1" applyFill="1" applyBorder="1" applyAlignment="1" applyProtection="1">
      <alignment horizontal="center" vertical="center" wrapText="1" shrinkToFit="1"/>
    </xf>
    <xf numFmtId="0" fontId="2" fillId="9" borderId="26" xfId="0" applyFont="1" applyFill="1" applyBorder="1" applyAlignment="1" applyProtection="1">
      <alignment horizontal="center" vertical="center" wrapText="1" shrinkToFit="1"/>
    </xf>
    <xf numFmtId="0" fontId="2" fillId="9" borderId="23" xfId="0" applyFont="1" applyFill="1" applyBorder="1" applyAlignment="1" applyProtection="1">
      <alignment horizontal="center" vertical="center" wrapText="1" shrinkToFit="1"/>
    </xf>
    <xf numFmtId="0" fontId="2" fillId="9" borderId="27" xfId="0" applyFont="1" applyFill="1" applyBorder="1" applyAlignment="1" applyProtection="1">
      <alignment horizontal="center" vertical="center" wrapText="1" shrinkToFit="1"/>
    </xf>
    <xf numFmtId="0" fontId="15" fillId="11" borderId="35" xfId="5" applyFont="1" applyFill="1" applyBorder="1" applyAlignment="1" applyProtection="1">
      <alignment horizontal="left" vertical="center" wrapText="1"/>
    </xf>
    <xf numFmtId="0" fontId="15" fillId="11" borderId="36" xfId="5" applyFont="1" applyFill="1" applyBorder="1" applyAlignment="1" applyProtection="1">
      <alignment horizontal="left" vertical="center" wrapText="1"/>
    </xf>
    <xf numFmtId="44" fontId="15" fillId="11" borderId="36" xfId="5" applyNumberFormat="1" applyFont="1" applyFill="1" applyBorder="1" applyAlignment="1" applyProtection="1">
      <alignment horizontal="right" vertical="center" wrapText="1"/>
    </xf>
    <xf numFmtId="44" fontId="15" fillId="11" borderId="34" xfId="5" applyNumberFormat="1" applyFont="1" applyFill="1" applyBorder="1" applyAlignment="1" applyProtection="1">
      <alignment horizontal="right" vertical="center" wrapText="1"/>
    </xf>
    <xf numFmtId="0" fontId="19" fillId="2" borderId="1" xfId="5" applyFont="1" applyFill="1" applyBorder="1" applyAlignment="1" applyProtection="1">
      <alignment horizontal="left" vertical="center" wrapText="1"/>
    </xf>
    <xf numFmtId="0" fontId="19" fillId="2" borderId="0" xfId="5" applyFont="1" applyFill="1" applyBorder="1" applyAlignment="1" applyProtection="1">
      <alignment horizontal="left" vertical="center" wrapText="1"/>
    </xf>
    <xf numFmtId="0" fontId="19" fillId="2" borderId="2" xfId="5" applyFont="1" applyFill="1" applyBorder="1" applyAlignment="1" applyProtection="1">
      <alignment horizontal="left" vertical="center" wrapText="1"/>
    </xf>
    <xf numFmtId="0" fontId="19" fillId="2" borderId="26" xfId="5" applyFont="1" applyFill="1" applyBorder="1" applyAlignment="1" applyProtection="1">
      <alignment horizontal="left" vertical="center" wrapText="1"/>
    </xf>
    <xf numFmtId="0" fontId="19" fillId="2" borderId="23" xfId="5" applyFont="1" applyFill="1" applyBorder="1" applyAlignment="1" applyProtection="1">
      <alignment horizontal="left" vertical="center" wrapText="1"/>
    </xf>
    <xf numFmtId="0" fontId="19" fillId="2" borderId="27" xfId="5" applyFont="1" applyFill="1" applyBorder="1" applyAlignment="1" applyProtection="1">
      <alignment horizontal="left" vertical="center" wrapText="1"/>
    </xf>
    <xf numFmtId="0" fontId="19" fillId="2" borderId="25" xfId="5" applyFont="1" applyFill="1" applyBorder="1" applyAlignment="1" applyProtection="1">
      <alignment horizontal="left" vertical="center" wrapText="1"/>
    </xf>
    <xf numFmtId="0" fontId="19" fillId="2" borderId="21" xfId="5" applyFont="1" applyFill="1" applyBorder="1" applyAlignment="1" applyProtection="1">
      <alignment horizontal="left" vertical="center" wrapText="1"/>
    </xf>
    <xf numFmtId="0" fontId="19" fillId="2" borderId="24" xfId="5" applyFont="1" applyFill="1" applyBorder="1" applyAlignment="1" applyProtection="1">
      <alignment horizontal="left" vertical="center" wrapText="1"/>
    </xf>
    <xf numFmtId="0" fontId="15" fillId="8" borderId="36" xfId="5" applyNumberFormat="1" applyFont="1" applyFill="1" applyBorder="1" applyAlignment="1" applyProtection="1">
      <alignment horizontal="right" vertical="top" wrapText="1"/>
      <protection locked="0"/>
    </xf>
    <xf numFmtId="0" fontId="15" fillId="8" borderId="34" xfId="5" applyNumberFormat="1" applyFont="1" applyFill="1" applyBorder="1" applyAlignment="1" applyProtection="1">
      <alignment horizontal="right" vertical="top" wrapText="1"/>
      <protection locked="0"/>
    </xf>
    <xf numFmtId="0" fontId="15" fillId="12" borderId="29" xfId="5" applyFont="1" applyFill="1" applyBorder="1" applyAlignment="1" applyProtection="1">
      <alignment horizontal="center" vertical="top" wrapText="1"/>
    </xf>
    <xf numFmtId="0" fontId="15" fillId="12" borderId="14" xfId="5" applyFont="1" applyFill="1" applyBorder="1" applyAlignment="1" applyProtection="1">
      <alignment horizontal="center" vertical="top" wrapText="1"/>
    </xf>
    <xf numFmtId="0" fontId="15" fillId="12" borderId="20" xfId="5" applyFont="1" applyFill="1" applyBorder="1" applyAlignment="1" applyProtection="1">
      <alignment horizontal="center" vertical="top" wrapText="1"/>
    </xf>
    <xf numFmtId="0" fontId="6" fillId="20" borderId="31" xfId="0" applyFont="1" applyFill="1" applyBorder="1" applyAlignment="1" applyProtection="1">
      <alignment horizontal="center" vertical="center" wrapText="1" shrinkToFit="1"/>
    </xf>
    <xf numFmtId="0" fontId="6" fillId="20" borderId="32" xfId="0" applyFont="1" applyFill="1" applyBorder="1" applyAlignment="1" applyProtection="1">
      <alignment horizontal="center" vertical="center" wrapText="1" shrinkToFit="1"/>
    </xf>
    <xf numFmtId="0" fontId="6" fillId="20" borderId="28" xfId="0" applyFont="1" applyFill="1" applyBorder="1" applyAlignment="1" applyProtection="1">
      <alignment horizontal="center" vertical="center" wrapText="1" shrinkToFit="1"/>
    </xf>
    <xf numFmtId="0" fontId="6" fillId="20" borderId="1" xfId="0" applyFont="1" applyFill="1" applyBorder="1" applyAlignment="1" applyProtection="1">
      <alignment horizontal="center" vertical="center" wrapText="1" shrinkToFit="1"/>
    </xf>
    <xf numFmtId="0" fontId="6" fillId="20" borderId="0" xfId="0" applyFont="1" applyFill="1" applyBorder="1" applyAlignment="1" applyProtection="1">
      <alignment horizontal="center" vertical="center" wrapText="1" shrinkToFit="1"/>
    </xf>
    <xf numFmtId="0" fontId="6" fillId="20" borderId="2" xfId="0" applyFont="1" applyFill="1" applyBorder="1" applyAlignment="1" applyProtection="1">
      <alignment horizontal="center" vertical="center" wrapText="1" shrinkToFit="1"/>
    </xf>
    <xf numFmtId="0" fontId="2" fillId="9" borderId="1" xfId="0" applyFont="1" applyFill="1" applyBorder="1" applyAlignment="1" applyProtection="1">
      <alignment horizontal="center" vertical="center" wrapText="1" shrinkToFit="1"/>
    </xf>
    <xf numFmtId="0" fontId="2" fillId="9" borderId="0" xfId="0" applyFont="1" applyFill="1" applyBorder="1" applyAlignment="1" applyProtection="1">
      <alignment horizontal="center" vertical="center" wrapText="1" shrinkToFit="1"/>
    </xf>
    <xf numFmtId="0" fontId="2" fillId="9" borderId="2" xfId="0" applyFont="1" applyFill="1" applyBorder="1" applyAlignment="1" applyProtection="1">
      <alignment horizontal="center" vertical="center" wrapText="1" shrinkToFit="1"/>
    </xf>
    <xf numFmtId="0" fontId="2" fillId="8" borderId="25" xfId="0" applyFont="1" applyFill="1" applyBorder="1" applyAlignment="1" applyProtection="1">
      <alignment horizontal="left" vertical="center" wrapText="1"/>
    </xf>
    <xf numFmtId="0" fontId="2" fillId="8" borderId="21" xfId="0" applyFont="1" applyFill="1" applyBorder="1" applyAlignment="1" applyProtection="1">
      <alignment horizontal="left" vertical="center" wrapText="1"/>
    </xf>
    <xf numFmtId="0" fontId="2" fillId="8" borderId="24" xfId="0" applyFont="1" applyFill="1" applyBorder="1" applyAlignment="1" applyProtection="1">
      <alignment horizontal="left" vertical="center" wrapText="1"/>
    </xf>
    <xf numFmtId="0" fontId="2" fillId="8" borderId="1" xfId="0" applyFont="1" applyFill="1" applyBorder="1" applyAlignment="1" applyProtection="1">
      <alignment horizontal="left" vertical="center" wrapText="1"/>
    </xf>
    <xf numFmtId="0" fontId="2" fillId="8" borderId="0" xfId="0" applyFont="1" applyFill="1" applyBorder="1" applyAlignment="1" applyProtection="1">
      <alignment horizontal="left" vertical="center" wrapText="1"/>
    </xf>
    <xf numFmtId="0" fontId="2" fillId="8" borderId="2" xfId="0" applyFont="1" applyFill="1" applyBorder="1" applyAlignment="1" applyProtection="1">
      <alignment horizontal="left" vertical="center" wrapText="1"/>
    </xf>
    <xf numFmtId="0" fontId="2" fillId="8" borderId="0" xfId="0" applyFont="1" applyFill="1" applyBorder="1" applyAlignment="1" applyProtection="1">
      <alignment wrapText="1" shrinkToFit="1"/>
    </xf>
    <xf numFmtId="0" fontId="2" fillId="8" borderId="2" xfId="0" applyFont="1" applyFill="1" applyBorder="1" applyAlignment="1" applyProtection="1">
      <alignment wrapText="1" shrinkToFit="1"/>
    </xf>
    <xf numFmtId="0" fontId="29" fillId="2" borderId="17" xfId="0" applyFont="1" applyFill="1" applyBorder="1" applyAlignment="1" applyProtection="1">
      <alignment horizontal="center" shrinkToFit="1"/>
      <protection locked="0"/>
    </xf>
    <xf numFmtId="0" fontId="29" fillId="2" borderId="6" xfId="0" applyFont="1" applyFill="1" applyBorder="1" applyAlignment="1" applyProtection="1">
      <alignment horizontal="center" shrinkToFit="1"/>
      <protection locked="0"/>
    </xf>
    <xf numFmtId="0" fontId="2" fillId="8" borderId="60" xfId="0" applyFont="1" applyFill="1" applyBorder="1" applyAlignment="1" applyProtection="1">
      <alignment wrapText="1" shrinkToFit="1"/>
    </xf>
    <xf numFmtId="0" fontId="2" fillId="8" borderId="0" xfId="0" applyFont="1" applyFill="1" applyBorder="1" applyAlignment="1" applyProtection="1">
      <alignment horizontal="left" wrapText="1" shrinkToFit="1"/>
    </xf>
    <xf numFmtId="49" fontId="2" fillId="4" borderId="61" xfId="0" applyNumberFormat="1" applyFont="1" applyFill="1" applyBorder="1" applyAlignment="1" applyProtection="1">
      <alignment horizontal="left" vertical="center" shrinkToFit="1"/>
      <protection locked="0"/>
    </xf>
    <xf numFmtId="49" fontId="2" fillId="4" borderId="62" xfId="0" applyNumberFormat="1" applyFont="1" applyFill="1" applyBorder="1" applyAlignment="1" applyProtection="1">
      <alignment horizontal="left" vertical="center" shrinkToFit="1"/>
      <protection locked="0"/>
    </xf>
    <xf numFmtId="49" fontId="2" fillId="4" borderId="63" xfId="0" applyNumberFormat="1" applyFont="1" applyFill="1" applyBorder="1" applyAlignment="1" applyProtection="1">
      <alignment horizontal="left" vertical="center" shrinkToFit="1"/>
      <protection locked="0"/>
    </xf>
    <xf numFmtId="0" fontId="15" fillId="8" borderId="0" xfId="0" applyFont="1" applyFill="1" applyBorder="1" applyAlignment="1" applyProtection="1">
      <alignment wrapText="1" shrinkToFit="1"/>
    </xf>
    <xf numFmtId="0" fontId="15" fillId="2" borderId="0" xfId="0" applyFont="1" applyFill="1" applyBorder="1" applyAlignment="1" applyProtection="1">
      <alignment horizontal="left" shrinkToFit="1"/>
    </xf>
    <xf numFmtId="0" fontId="2" fillId="11" borderId="25" xfId="0" applyFont="1" applyFill="1" applyBorder="1" applyAlignment="1" applyProtection="1">
      <alignment horizontal="left" vertical="center" wrapText="1"/>
    </xf>
    <xf numFmtId="0" fontId="2" fillId="11" borderId="21" xfId="0" applyFont="1" applyFill="1" applyBorder="1" applyAlignment="1" applyProtection="1">
      <alignment horizontal="left" vertical="center" wrapText="1"/>
    </xf>
    <xf numFmtId="0" fontId="2" fillId="11" borderId="24" xfId="0" applyFont="1" applyFill="1" applyBorder="1" applyAlignment="1" applyProtection="1">
      <alignment horizontal="left" vertical="center" wrapText="1"/>
    </xf>
    <xf numFmtId="0" fontId="2" fillId="11" borderId="1" xfId="0" applyFont="1" applyFill="1" applyBorder="1" applyAlignment="1" applyProtection="1">
      <alignment horizontal="left" vertical="center" wrapText="1"/>
    </xf>
    <xf numFmtId="0" fontId="2" fillId="11" borderId="0" xfId="0" applyFont="1" applyFill="1" applyBorder="1" applyAlignment="1" applyProtection="1">
      <alignment horizontal="left" vertical="center" wrapText="1"/>
    </xf>
    <xf numFmtId="0" fontId="2" fillId="11" borderId="2" xfId="0" applyFont="1" applyFill="1" applyBorder="1" applyAlignment="1" applyProtection="1">
      <alignment horizontal="left" vertical="center" wrapText="1"/>
    </xf>
    <xf numFmtId="0" fontId="2" fillId="11" borderId="26" xfId="0" applyFont="1" applyFill="1" applyBorder="1" applyAlignment="1" applyProtection="1">
      <alignment horizontal="left" vertical="center" wrapText="1"/>
    </xf>
    <xf numFmtId="0" fontId="2" fillId="11" borderId="23" xfId="0" applyFont="1" applyFill="1" applyBorder="1" applyAlignment="1" applyProtection="1">
      <alignment horizontal="left" vertical="center" wrapText="1"/>
    </xf>
    <xf numFmtId="0" fontId="2" fillId="11" borderId="27" xfId="0" applyFont="1" applyFill="1" applyBorder="1" applyAlignment="1" applyProtection="1">
      <alignment horizontal="left" vertical="center" wrapText="1"/>
    </xf>
    <xf numFmtId="0" fontId="6" fillId="11" borderId="29" xfId="5" applyFont="1" applyFill="1" applyBorder="1" applyAlignment="1" applyProtection="1">
      <alignment horizontal="left" vertical="center" wrapText="1"/>
    </xf>
    <xf numFmtId="0" fontId="6" fillId="11" borderId="14" xfId="5" applyFont="1" applyFill="1" applyBorder="1" applyAlignment="1" applyProtection="1">
      <alignment horizontal="left" vertical="center" wrapText="1"/>
    </xf>
    <xf numFmtId="0" fontId="6" fillId="11" borderId="20" xfId="5" applyFont="1" applyFill="1" applyBorder="1" applyAlignment="1" applyProtection="1">
      <alignment horizontal="left" vertical="center" wrapText="1"/>
    </xf>
    <xf numFmtId="0" fontId="2" fillId="8" borderId="0" xfId="0" applyFont="1" applyFill="1" applyBorder="1" applyAlignment="1" applyProtection="1">
      <alignment vertical="top" wrapText="1" shrinkToFit="1"/>
    </xf>
    <xf numFmtId="0" fontId="2" fillId="8" borderId="2" xfId="0" applyFont="1" applyFill="1" applyBorder="1" applyAlignment="1" applyProtection="1">
      <alignment vertical="top" wrapText="1" shrinkToFit="1"/>
    </xf>
    <xf numFmtId="0" fontId="15" fillId="8" borderId="0" xfId="0" applyFont="1" applyFill="1" applyBorder="1" applyAlignment="1" applyProtection="1">
      <alignment vertical="top" wrapText="1" shrinkToFit="1"/>
    </xf>
    <xf numFmtId="0" fontId="15" fillId="8" borderId="2" xfId="0" applyFont="1" applyFill="1" applyBorder="1" applyAlignment="1" applyProtection="1">
      <alignment vertical="top" wrapText="1" shrinkToFit="1"/>
    </xf>
    <xf numFmtId="0" fontId="29" fillId="2" borderId="30" xfId="0" applyFont="1" applyFill="1" applyBorder="1" applyAlignment="1" applyProtection="1">
      <alignment horizontal="center" shrinkToFit="1"/>
      <protection locked="0"/>
    </xf>
    <xf numFmtId="0" fontId="19" fillId="2" borderId="17" xfId="0" applyFont="1" applyFill="1" applyBorder="1" applyAlignment="1" applyProtection="1">
      <alignment horizontal="left" vertical="top" wrapText="1"/>
      <protection locked="0"/>
    </xf>
    <xf numFmtId="0" fontId="19" fillId="2" borderId="6" xfId="0" applyFont="1" applyFill="1" applyBorder="1" applyAlignment="1" applyProtection="1">
      <alignment horizontal="left" vertical="top" wrapText="1"/>
      <protection locked="0"/>
    </xf>
    <xf numFmtId="0" fontId="19" fillId="2" borderId="30" xfId="0" applyFont="1" applyFill="1" applyBorder="1" applyAlignment="1" applyProtection="1">
      <alignment horizontal="left" vertical="top" wrapText="1"/>
      <protection locked="0"/>
    </xf>
    <xf numFmtId="0" fontId="2" fillId="8" borderId="0" xfId="0" applyNumberFormat="1" applyFont="1" applyFill="1" applyBorder="1" applyAlignment="1" applyProtection="1">
      <alignment vertical="top" wrapText="1"/>
    </xf>
    <xf numFmtId="9" fontId="15" fillId="8" borderId="36" xfId="5" applyNumberFormat="1" applyFont="1" applyFill="1" applyBorder="1" applyAlignment="1" applyProtection="1">
      <alignment horizontal="right" vertical="top" wrapText="1"/>
      <protection locked="0"/>
    </xf>
    <xf numFmtId="9" fontId="15" fillId="8" borderId="34" xfId="5" applyNumberFormat="1" applyFont="1" applyFill="1" applyBorder="1" applyAlignment="1" applyProtection="1">
      <alignment horizontal="right" vertical="top" wrapText="1"/>
      <protection locked="0"/>
    </xf>
    <xf numFmtId="0" fontId="19" fillId="2" borderId="41" xfId="0" applyFont="1" applyFill="1" applyBorder="1" applyAlignment="1" applyProtection="1">
      <alignment horizontal="left" vertical="top" wrapText="1"/>
      <protection locked="0"/>
    </xf>
    <xf numFmtId="0" fontId="19" fillId="2" borderId="42" xfId="0" applyFont="1" applyFill="1" applyBorder="1" applyAlignment="1" applyProtection="1">
      <alignment horizontal="left" vertical="top" wrapText="1"/>
      <protection locked="0"/>
    </xf>
    <xf numFmtId="0" fontId="19" fillId="2" borderId="43" xfId="0" applyFont="1" applyFill="1" applyBorder="1" applyAlignment="1" applyProtection="1">
      <alignment horizontal="left" vertical="top" wrapText="1"/>
      <protection locked="0"/>
    </xf>
    <xf numFmtId="0" fontId="6" fillId="11" borderId="35" xfId="5" applyFont="1" applyFill="1" applyBorder="1" applyAlignment="1" applyProtection="1">
      <alignment horizontal="left" vertical="center" wrapText="1"/>
    </xf>
    <xf numFmtId="0" fontId="6" fillId="11" borderId="36" xfId="5" applyFont="1" applyFill="1" applyBorder="1" applyAlignment="1" applyProtection="1">
      <alignment horizontal="left" vertical="center" wrapText="1"/>
    </xf>
    <xf numFmtId="9" fontId="15" fillId="8" borderId="18" xfId="5" applyNumberFormat="1" applyFont="1" applyFill="1" applyBorder="1" applyAlignment="1" applyProtection="1">
      <alignment horizontal="left" vertical="center" wrapText="1"/>
      <protection locked="0"/>
    </xf>
    <xf numFmtId="9" fontId="15" fillId="8" borderId="14" xfId="5" applyNumberFormat="1" applyFont="1" applyFill="1" applyBorder="1" applyAlignment="1" applyProtection="1">
      <alignment horizontal="left" vertical="center" wrapText="1"/>
      <protection locked="0"/>
    </xf>
    <xf numFmtId="9" fontId="15" fillId="8" borderId="20" xfId="5" applyNumberFormat="1" applyFont="1" applyFill="1" applyBorder="1" applyAlignment="1" applyProtection="1">
      <alignment horizontal="left" vertical="center" wrapText="1"/>
      <protection locked="0"/>
    </xf>
    <xf numFmtId="0" fontId="6" fillId="18" borderId="31" xfId="0" applyFont="1" applyFill="1" applyBorder="1" applyAlignment="1" applyProtection="1">
      <alignment horizontal="center" vertical="center" wrapText="1" shrinkToFit="1"/>
    </xf>
    <xf numFmtId="0" fontId="6" fillId="18" borderId="32" xfId="0" applyFont="1" applyFill="1" applyBorder="1" applyAlignment="1" applyProtection="1">
      <alignment horizontal="center" vertical="center" wrapText="1" shrinkToFit="1"/>
    </xf>
    <xf numFmtId="0" fontId="6" fillId="18" borderId="28" xfId="0" applyFont="1" applyFill="1" applyBorder="1" applyAlignment="1" applyProtection="1">
      <alignment horizontal="center" vertical="center" wrapText="1" shrinkToFit="1"/>
    </xf>
    <xf numFmtId="0" fontId="6" fillId="18" borderId="1" xfId="0" applyFont="1" applyFill="1" applyBorder="1" applyAlignment="1" applyProtection="1">
      <alignment horizontal="center" vertical="center" wrapText="1" shrinkToFit="1"/>
    </xf>
    <xf numFmtId="0" fontId="6" fillId="18" borderId="0" xfId="0" applyFont="1" applyFill="1" applyBorder="1" applyAlignment="1" applyProtection="1">
      <alignment horizontal="center" vertical="center" wrapText="1" shrinkToFit="1"/>
    </xf>
    <xf numFmtId="0" fontId="6" fillId="18" borderId="2" xfId="0" applyFont="1" applyFill="1" applyBorder="1" applyAlignment="1" applyProtection="1">
      <alignment horizontal="center" vertical="center" wrapText="1" shrinkToFit="1"/>
    </xf>
    <xf numFmtId="0" fontId="2" fillId="8" borderId="1" xfId="0" applyNumberFormat="1" applyFont="1" applyFill="1" applyBorder="1" applyAlignment="1" applyProtection="1">
      <alignment horizontal="left" vertical="center" wrapText="1"/>
    </xf>
    <xf numFmtId="0" fontId="2" fillId="8" borderId="0" xfId="0" applyNumberFormat="1" applyFont="1" applyFill="1" applyBorder="1" applyAlignment="1" applyProtection="1">
      <alignment horizontal="left" vertical="center" wrapText="1"/>
    </xf>
    <xf numFmtId="0" fontId="2" fillId="8" borderId="2" xfId="0" applyNumberFormat="1" applyFont="1" applyFill="1" applyBorder="1" applyAlignment="1" applyProtection="1">
      <alignment horizontal="left" vertical="center" wrapText="1"/>
    </xf>
    <xf numFmtId="0" fontId="2" fillId="2" borderId="18" xfId="0" applyFont="1" applyFill="1" applyBorder="1" applyAlignment="1" applyProtection="1">
      <alignment shrinkToFit="1"/>
      <protection locked="0"/>
    </xf>
    <xf numFmtId="0" fontId="2" fillId="2" borderId="14" xfId="0" applyFont="1" applyFill="1" applyBorder="1" applyAlignment="1" applyProtection="1">
      <alignment shrinkToFit="1"/>
      <protection locked="0"/>
    </xf>
    <xf numFmtId="0" fontId="2" fillId="2" borderId="20" xfId="0" applyFont="1" applyFill="1" applyBorder="1" applyAlignment="1" applyProtection="1">
      <alignment shrinkToFit="1"/>
      <protection locked="0"/>
    </xf>
    <xf numFmtId="0" fontId="2" fillId="2" borderId="29" xfId="0" applyFont="1" applyFill="1" applyBorder="1" applyAlignment="1" applyProtection="1">
      <alignment shrinkToFit="1"/>
      <protection locked="0"/>
    </xf>
    <xf numFmtId="0" fontId="2" fillId="2" borderId="19" xfId="0" applyFont="1" applyFill="1" applyBorder="1" applyAlignment="1" applyProtection="1">
      <alignment shrinkToFit="1"/>
      <protection locked="0"/>
    </xf>
    <xf numFmtId="0" fontId="23" fillId="9" borderId="64" xfId="0" applyFont="1" applyFill="1" applyBorder="1" applyAlignment="1" applyProtection="1">
      <alignment horizontal="left" vertical="center"/>
    </xf>
    <xf numFmtId="0" fontId="23" fillId="9" borderId="65" xfId="0" applyFont="1" applyFill="1" applyBorder="1" applyAlignment="1" applyProtection="1">
      <alignment horizontal="left" vertical="center"/>
    </xf>
    <xf numFmtId="0" fontId="23" fillId="9" borderId="49" xfId="0" applyFont="1" applyFill="1" applyBorder="1" applyAlignment="1" applyProtection="1">
      <alignment horizontal="left" vertical="center"/>
    </xf>
    <xf numFmtId="44" fontId="23" fillId="9" borderId="66" xfId="0" applyNumberFormat="1" applyFont="1" applyFill="1" applyBorder="1" applyAlignment="1" applyProtection="1">
      <alignment horizontal="left" vertical="center"/>
    </xf>
    <xf numFmtId="44" fontId="23" fillId="9" borderId="65" xfId="0" applyNumberFormat="1" applyFont="1" applyFill="1" applyBorder="1" applyAlignment="1" applyProtection="1">
      <alignment horizontal="left" vertical="center"/>
    </xf>
    <xf numFmtId="44" fontId="23" fillId="9" borderId="67" xfId="0" applyNumberFormat="1" applyFont="1" applyFill="1" applyBorder="1" applyAlignment="1" applyProtection="1">
      <alignment horizontal="left" vertical="center"/>
    </xf>
    <xf numFmtId="0" fontId="23" fillId="9" borderId="29" xfId="0" applyFont="1" applyFill="1" applyBorder="1" applyAlignment="1" applyProtection="1">
      <alignment horizontal="left" vertical="center"/>
    </xf>
    <xf numFmtId="0" fontId="23" fillId="9" borderId="14" xfId="0" applyFont="1" applyFill="1" applyBorder="1" applyAlignment="1" applyProtection="1">
      <alignment horizontal="left" vertical="center"/>
    </xf>
    <xf numFmtId="0" fontId="23" fillId="9" borderId="19" xfId="0" applyFont="1" applyFill="1" applyBorder="1" applyAlignment="1" applyProtection="1">
      <alignment horizontal="left" vertical="center"/>
    </xf>
    <xf numFmtId="44" fontId="23" fillId="9" borderId="18" xfId="0" applyNumberFormat="1" applyFont="1" applyFill="1" applyBorder="1" applyAlignment="1" applyProtection="1">
      <alignment horizontal="left" vertical="center"/>
    </xf>
    <xf numFmtId="44" fontId="23" fillId="9" borderId="14" xfId="0" applyNumberFormat="1" applyFont="1" applyFill="1" applyBorder="1" applyAlignment="1" applyProtection="1">
      <alignment horizontal="left" vertical="center"/>
    </xf>
    <xf numFmtId="44" fontId="23" fillId="9" borderId="20" xfId="0" applyNumberFormat="1" applyFont="1" applyFill="1" applyBorder="1" applyAlignment="1" applyProtection="1">
      <alignment horizontal="left" vertical="center"/>
    </xf>
    <xf numFmtId="0" fontId="21" fillId="4" borderId="29" xfId="0" applyFont="1" applyFill="1" applyBorder="1" applyAlignment="1" applyProtection="1">
      <alignment horizontal="center" vertical="center" wrapText="1"/>
    </xf>
    <xf numFmtId="0" fontId="21" fillId="4" borderId="14" xfId="0" applyFont="1" applyFill="1" applyBorder="1" applyAlignment="1" applyProtection="1">
      <alignment horizontal="center" vertical="center" wrapText="1"/>
    </xf>
    <xf numFmtId="0" fontId="21" fillId="4" borderId="20" xfId="0" applyFont="1" applyFill="1" applyBorder="1" applyAlignment="1" applyProtection="1">
      <alignment horizontal="center" vertical="center" wrapText="1"/>
    </xf>
    <xf numFmtId="0" fontId="15" fillId="4" borderId="25" xfId="0" applyFont="1" applyFill="1" applyBorder="1" applyAlignment="1" applyProtection="1">
      <alignment horizontal="center" vertical="center" wrapText="1"/>
    </xf>
    <xf numFmtId="0" fontId="15" fillId="4" borderId="21" xfId="0" applyFont="1" applyFill="1" applyBorder="1" applyAlignment="1" applyProtection="1">
      <alignment horizontal="center" vertical="center" wrapText="1"/>
    </xf>
    <xf numFmtId="0" fontId="15" fillId="4" borderId="68" xfId="0"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69" xfId="0" applyFont="1" applyFill="1" applyBorder="1" applyAlignment="1" applyProtection="1">
      <alignment horizontal="center" vertical="center" wrapText="1"/>
    </xf>
    <xf numFmtId="0" fontId="15" fillId="4" borderId="26" xfId="0" applyFont="1" applyFill="1" applyBorder="1" applyAlignment="1" applyProtection="1">
      <alignment horizontal="center" vertical="center" wrapText="1"/>
    </xf>
    <xf numFmtId="0" fontId="15" fillId="4" borderId="23"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15" fillId="4" borderId="50" xfId="0" applyFont="1" applyFill="1" applyBorder="1" applyAlignment="1" applyProtection="1">
      <alignment horizontal="center" vertical="center" wrapText="1"/>
    </xf>
    <xf numFmtId="0" fontId="15" fillId="4" borderId="70" xfId="0" applyFont="1" applyFill="1" applyBorder="1" applyAlignment="1" applyProtection="1">
      <alignment horizontal="center" vertical="center" wrapText="1"/>
    </xf>
    <xf numFmtId="0" fontId="15" fillId="4" borderId="36" xfId="0" applyFont="1" applyFill="1" applyBorder="1" applyAlignment="1" applyProtection="1">
      <alignment horizontal="center" vertical="center" wrapText="1"/>
    </xf>
    <xf numFmtId="0" fontId="15" fillId="4" borderId="6" xfId="0" applyFont="1" applyFill="1" applyBorder="1" applyAlignment="1" applyProtection="1">
      <alignment horizontal="center" vertical="center" wrapText="1"/>
    </xf>
    <xf numFmtId="0" fontId="15" fillId="4" borderId="71" xfId="0" applyFont="1" applyFill="1" applyBorder="1" applyAlignment="1" applyProtection="1">
      <alignment horizontal="center" vertical="center" wrapText="1"/>
    </xf>
    <xf numFmtId="0" fontId="15" fillId="4" borderId="24" xfId="0" applyFont="1" applyFill="1" applyBorder="1" applyAlignment="1" applyProtection="1">
      <alignment horizontal="center" vertical="center" wrapText="1"/>
    </xf>
    <xf numFmtId="0" fontId="15" fillId="4" borderId="72" xfId="0" applyFont="1" applyFill="1" applyBorder="1" applyAlignment="1" applyProtection="1">
      <alignment horizontal="center" vertical="center" wrapText="1"/>
    </xf>
    <xf numFmtId="0" fontId="15" fillId="4" borderId="2" xfId="0" applyFont="1" applyFill="1" applyBorder="1" applyAlignment="1" applyProtection="1">
      <alignment horizontal="center" vertical="center" wrapText="1"/>
    </xf>
    <xf numFmtId="0" fontId="15" fillId="4" borderId="73" xfId="0" applyFont="1" applyFill="1" applyBorder="1" applyAlignment="1" applyProtection="1">
      <alignment horizontal="center" vertical="center" wrapText="1"/>
    </xf>
    <xf numFmtId="0" fontId="15" fillId="4" borderId="27" xfId="0" applyFont="1" applyFill="1" applyBorder="1" applyAlignment="1" applyProtection="1">
      <alignment horizontal="center" vertical="center" wrapText="1"/>
    </xf>
    <xf numFmtId="0" fontId="19" fillId="5" borderId="29" xfId="0" applyFont="1" applyFill="1" applyBorder="1" applyAlignment="1" applyProtection="1">
      <alignment horizontal="center" vertical="center" wrapText="1"/>
    </xf>
    <xf numFmtId="0" fontId="19" fillId="5" borderId="14" xfId="0" applyFont="1" applyFill="1" applyBorder="1" applyAlignment="1" applyProtection="1">
      <alignment horizontal="center" vertical="center" wrapText="1"/>
    </xf>
    <xf numFmtId="0" fontId="19" fillId="5" borderId="20" xfId="0" applyFont="1" applyFill="1" applyBorder="1" applyAlignment="1" applyProtection="1">
      <alignment horizontal="center" vertical="center" wrapText="1"/>
    </xf>
    <xf numFmtId="0" fontId="21" fillId="9" borderId="17" xfId="0" applyFont="1" applyFill="1" applyBorder="1" applyAlignment="1" applyProtection="1">
      <alignment horizontal="center" vertical="center" wrapText="1"/>
    </xf>
    <xf numFmtId="0" fontId="21" fillId="9" borderId="6" xfId="0" applyFont="1" applyFill="1" applyBorder="1" applyAlignment="1" applyProtection="1">
      <alignment horizontal="center" vertical="center" wrapText="1"/>
    </xf>
    <xf numFmtId="0" fontId="21" fillId="9" borderId="30" xfId="0" applyFont="1" applyFill="1" applyBorder="1" applyAlignment="1" applyProtection="1">
      <alignment horizontal="center" vertical="center" wrapText="1"/>
    </xf>
    <xf numFmtId="0" fontId="26" fillId="4" borderId="50" xfId="0" applyFont="1" applyFill="1" applyBorder="1" applyAlignment="1" applyProtection="1">
      <alignment horizontal="center" vertical="center" wrapText="1" shrinkToFit="1"/>
    </xf>
    <xf numFmtId="0" fontId="26" fillId="4" borderId="70" xfId="0" applyFont="1" applyFill="1" applyBorder="1" applyAlignment="1" applyProtection="1">
      <alignment horizontal="center" vertical="center" wrapText="1" shrinkToFit="1"/>
    </xf>
    <xf numFmtId="0" fontId="26" fillId="4" borderId="36" xfId="0" applyFont="1" applyFill="1" applyBorder="1" applyAlignment="1" applyProtection="1">
      <alignment horizontal="center" vertical="center" wrapText="1" shrinkToFit="1"/>
    </xf>
    <xf numFmtId="0" fontId="23" fillId="9" borderId="17" xfId="0" applyFont="1" applyFill="1" applyBorder="1" applyAlignment="1" applyProtection="1">
      <alignment vertical="center"/>
    </xf>
    <xf numFmtId="0" fontId="23" fillId="9" borderId="6" xfId="0" applyFont="1" applyFill="1" applyBorder="1" applyAlignment="1" applyProtection="1">
      <alignment vertical="center"/>
    </xf>
    <xf numFmtId="0" fontId="23" fillId="9" borderId="6" xfId="0" applyFont="1" applyFill="1" applyBorder="1" applyAlignment="1" applyProtection="1">
      <alignment horizontal="left" vertical="center"/>
    </xf>
    <xf numFmtId="0" fontId="0" fillId="0" borderId="21" xfId="0" applyBorder="1" applyProtection="1"/>
    <xf numFmtId="0" fontId="0" fillId="0" borderId="24" xfId="0" applyBorder="1" applyProtection="1"/>
    <xf numFmtId="0" fontId="0" fillId="0" borderId="72" xfId="0" applyBorder="1" applyProtection="1"/>
    <xf numFmtId="0" fontId="0" fillId="0" borderId="0" xfId="0" applyBorder="1" applyProtection="1"/>
    <xf numFmtId="0" fontId="0" fillId="0" borderId="2" xfId="0" applyBorder="1" applyProtection="1"/>
    <xf numFmtId="0" fontId="0" fillId="0" borderId="73" xfId="0" applyBorder="1" applyProtection="1"/>
    <xf numFmtId="0" fontId="0" fillId="0" borderId="23" xfId="0" applyBorder="1" applyProtection="1"/>
    <xf numFmtId="0" fontId="0" fillId="0" borderId="27" xfId="0" applyBorder="1" applyProtection="1"/>
    <xf numFmtId="0" fontId="0" fillId="0" borderId="14" xfId="0" applyBorder="1" applyProtection="1">
      <protection locked="0"/>
    </xf>
    <xf numFmtId="0" fontId="0" fillId="0" borderId="20" xfId="0" applyBorder="1" applyProtection="1">
      <protection locked="0"/>
    </xf>
    <xf numFmtId="44" fontId="2" fillId="2" borderId="74" xfId="1" applyFont="1" applyFill="1" applyBorder="1" applyAlignment="1" applyProtection="1">
      <alignment horizontal="center"/>
    </xf>
    <xf numFmtId="44" fontId="2" fillId="2" borderId="75" xfId="1" applyFont="1" applyFill="1" applyBorder="1" applyAlignment="1" applyProtection="1">
      <alignment horizontal="center"/>
    </xf>
    <xf numFmtId="44" fontId="2" fillId="2" borderId="76" xfId="1" applyFont="1" applyFill="1" applyBorder="1" applyAlignment="1" applyProtection="1">
      <alignment horizontal="center"/>
    </xf>
    <xf numFmtId="44" fontId="2" fillId="9" borderId="77" xfId="1" applyFont="1" applyFill="1" applyBorder="1" applyAlignment="1" applyProtection="1">
      <alignment horizontal="center"/>
    </xf>
    <xf numFmtId="44" fontId="2" fillId="9" borderId="78" xfId="1" applyFont="1" applyFill="1" applyBorder="1" applyAlignment="1" applyProtection="1">
      <alignment horizontal="center"/>
    </xf>
    <xf numFmtId="44" fontId="2" fillId="9" borderId="12" xfId="1" applyFont="1" applyFill="1" applyBorder="1" applyAlignment="1" applyProtection="1">
      <alignment horizontal="center"/>
    </xf>
    <xf numFmtId="0" fontId="1" fillId="7" borderId="80" xfId="0" applyFont="1" applyFill="1" applyBorder="1" applyAlignment="1" applyProtection="1">
      <alignment horizontal="center" vertical="center" wrapText="1"/>
    </xf>
    <xf numFmtId="0" fontId="1" fillId="7" borderId="81" xfId="0" applyFont="1" applyFill="1" applyBorder="1" applyAlignment="1" applyProtection="1">
      <alignment horizontal="center" vertical="center" wrapText="1"/>
    </xf>
    <xf numFmtId="0" fontId="1" fillId="7" borderId="82" xfId="0" applyFont="1" applyFill="1" applyBorder="1" applyAlignment="1" applyProtection="1">
      <alignment horizontal="center" vertical="center" wrapText="1"/>
    </xf>
    <xf numFmtId="0" fontId="15" fillId="11" borderId="77" xfId="5" applyFont="1" applyFill="1" applyBorder="1" applyAlignment="1" applyProtection="1">
      <alignment horizontal="center" vertical="center" wrapText="1"/>
    </xf>
    <xf numFmtId="0" fontId="15" fillId="11" borderId="78" xfId="5" applyFont="1" applyFill="1" applyBorder="1" applyAlignment="1" applyProtection="1">
      <alignment horizontal="center" vertical="center" wrapText="1"/>
    </xf>
    <xf numFmtId="0" fontId="15" fillId="11" borderId="13" xfId="5" applyFont="1" applyFill="1" applyBorder="1" applyAlignment="1" applyProtection="1">
      <alignment horizontal="center" vertical="center" wrapText="1"/>
    </xf>
    <xf numFmtId="0" fontId="15" fillId="11" borderId="23" xfId="5" applyFont="1" applyFill="1" applyBorder="1" applyAlignment="1" applyProtection="1">
      <alignment horizontal="center" vertical="center" wrapText="1"/>
    </xf>
    <xf numFmtId="0" fontId="15" fillId="11" borderId="14" xfId="5" applyFont="1" applyFill="1" applyBorder="1" applyAlignment="1" applyProtection="1">
      <alignment horizontal="center" vertical="center" wrapText="1"/>
    </xf>
    <xf numFmtId="0" fontId="15" fillId="11" borderId="21" xfId="5" applyFont="1" applyFill="1" applyBorder="1" applyAlignment="1" applyProtection="1">
      <alignment horizontal="center" vertical="center" wrapText="1"/>
    </xf>
    <xf numFmtId="44" fontId="2" fillId="11" borderId="77" xfId="1" applyFont="1" applyFill="1" applyBorder="1" applyAlignment="1" applyProtection="1">
      <alignment horizontal="center"/>
    </xf>
    <xf numFmtId="44" fontId="2" fillId="11" borderId="78" xfId="1" applyFont="1" applyFill="1" applyBorder="1" applyAlignment="1" applyProtection="1">
      <alignment horizontal="center"/>
    </xf>
    <xf numFmtId="44" fontId="2" fillId="11" borderId="79" xfId="1" applyFont="1" applyFill="1" applyBorder="1" applyAlignment="1" applyProtection="1">
      <alignment horizontal="center"/>
    </xf>
    <xf numFmtId="0" fontId="15" fillId="9" borderId="87" xfId="5" applyFont="1" applyFill="1" applyBorder="1" applyAlignment="1" applyProtection="1">
      <alignment horizontal="center" vertical="center" textRotation="90"/>
    </xf>
    <xf numFmtId="0" fontId="15" fillId="9" borderId="88" xfId="5" applyFont="1" applyFill="1" applyBorder="1" applyAlignment="1" applyProtection="1">
      <alignment horizontal="center" vertical="center" textRotation="90"/>
    </xf>
    <xf numFmtId="0" fontId="15" fillId="9" borderId="89" xfId="5" applyFont="1" applyFill="1" applyBorder="1" applyAlignment="1" applyProtection="1">
      <alignment horizontal="center" vertical="center" textRotation="90"/>
    </xf>
    <xf numFmtId="0" fontId="15" fillId="11" borderId="83" xfId="5" applyFont="1" applyFill="1" applyBorder="1" applyAlignment="1" applyProtection="1">
      <alignment horizontal="center" vertical="center" wrapText="1"/>
    </xf>
    <xf numFmtId="0" fontId="15" fillId="11" borderId="84" xfId="5" applyFont="1" applyFill="1" applyBorder="1" applyAlignment="1" applyProtection="1">
      <alignment horizontal="center" vertical="center" wrapText="1"/>
    </xf>
    <xf numFmtId="0" fontId="15" fillId="11" borderId="85" xfId="5" applyFont="1" applyFill="1" applyBorder="1" applyAlignment="1" applyProtection="1">
      <alignment horizontal="center" vertical="center" wrapText="1"/>
    </xf>
    <xf numFmtId="0" fontId="15" fillId="11" borderId="60" xfId="5" applyFont="1" applyFill="1" applyBorder="1" applyAlignment="1" applyProtection="1">
      <alignment horizontal="center" vertical="center" wrapText="1"/>
    </xf>
    <xf numFmtId="0" fontId="15" fillId="9" borderId="83" xfId="5" applyFont="1" applyFill="1" applyBorder="1" applyAlignment="1" applyProtection="1">
      <alignment horizontal="center" vertical="center" wrapText="1"/>
    </xf>
    <xf numFmtId="0" fontId="15" fillId="9" borderId="84" xfId="5" applyFont="1" applyFill="1" applyBorder="1" applyAlignment="1" applyProtection="1">
      <alignment horizontal="center" vertical="center" wrapText="1"/>
    </xf>
    <xf numFmtId="0" fontId="15" fillId="9" borderId="85" xfId="5" applyFont="1" applyFill="1" applyBorder="1" applyAlignment="1" applyProtection="1">
      <alignment horizontal="center" vertical="center" wrapText="1"/>
    </xf>
    <xf numFmtId="0" fontId="15" fillId="9" borderId="60" xfId="5" applyFont="1" applyFill="1" applyBorder="1" applyAlignment="1" applyProtection="1">
      <alignment horizontal="center" vertical="center" wrapText="1"/>
    </xf>
    <xf numFmtId="0" fontId="15" fillId="9" borderId="11" xfId="5" applyFont="1" applyFill="1" applyBorder="1" applyAlignment="1" applyProtection="1">
      <alignment horizontal="center" vertical="center" wrapText="1"/>
    </xf>
    <xf numFmtId="0" fontId="15" fillId="9" borderId="86" xfId="5" applyFont="1" applyFill="1" applyBorder="1" applyAlignment="1" applyProtection="1">
      <alignment horizontal="center" vertical="center" wrapText="1"/>
    </xf>
    <xf numFmtId="0" fontId="15" fillId="18" borderId="31" xfId="5" applyFont="1" applyFill="1" applyBorder="1" applyAlignment="1" applyProtection="1">
      <alignment horizontal="center" vertical="center"/>
    </xf>
    <xf numFmtId="0" fontId="15" fillId="18" borderId="32" xfId="5" applyFont="1" applyFill="1" applyBorder="1" applyAlignment="1" applyProtection="1">
      <alignment horizontal="center" vertical="center"/>
    </xf>
    <xf numFmtId="0" fontId="15" fillId="18" borderId="1" xfId="5" applyFont="1" applyFill="1" applyBorder="1" applyAlignment="1" applyProtection="1">
      <alignment horizontal="center" vertical="center"/>
    </xf>
    <xf numFmtId="0" fontId="15" fillId="18" borderId="0" xfId="5" applyFont="1" applyFill="1" applyBorder="1" applyAlignment="1" applyProtection="1">
      <alignment horizontal="center" vertical="center"/>
    </xf>
    <xf numFmtId="0" fontId="15" fillId="18" borderId="90" xfId="5" applyFont="1" applyFill="1" applyBorder="1" applyAlignment="1" applyProtection="1">
      <alignment horizontal="center" vertical="center"/>
    </xf>
    <xf numFmtId="0" fontId="15" fillId="9" borderId="91" xfId="5" applyFont="1" applyFill="1" applyBorder="1" applyAlignment="1" applyProtection="1">
      <alignment horizontal="center" vertical="center"/>
    </xf>
    <xf numFmtId="0" fontId="15" fillId="9" borderId="32" xfId="5" applyFont="1" applyFill="1" applyBorder="1" applyAlignment="1" applyProtection="1">
      <alignment horizontal="center" vertical="center"/>
    </xf>
    <xf numFmtId="0" fontId="15" fillId="9" borderId="85" xfId="5" applyFont="1" applyFill="1" applyBorder="1" applyAlignment="1" applyProtection="1">
      <alignment horizontal="center" vertical="center"/>
    </xf>
    <xf numFmtId="0" fontId="15" fillId="9" borderId="0" xfId="5" applyFont="1" applyFill="1" applyBorder="1" applyAlignment="1" applyProtection="1">
      <alignment horizontal="center" vertical="center"/>
    </xf>
    <xf numFmtId="0" fontId="15" fillId="9" borderId="92" xfId="5" applyFont="1" applyFill="1" applyBorder="1" applyAlignment="1" applyProtection="1">
      <alignment horizontal="center" vertical="center"/>
    </xf>
    <xf numFmtId="0" fontId="15" fillId="9" borderId="93" xfId="5" applyFont="1" applyFill="1" applyBorder="1" applyAlignment="1" applyProtection="1">
      <alignment horizontal="center" vertical="center"/>
    </xf>
    <xf numFmtId="0" fontId="6" fillId="16" borderId="71" xfId="0" applyFont="1" applyFill="1" applyBorder="1" applyAlignment="1" applyProtection="1">
      <alignment horizontal="center" vertical="center" wrapText="1" shrinkToFit="1"/>
    </xf>
    <xf numFmtId="0" fontId="6" fillId="16" borderId="21" xfId="0" applyFont="1" applyFill="1" applyBorder="1" applyAlignment="1" applyProtection="1">
      <alignment horizontal="center" vertical="center" wrapText="1" shrinkToFit="1"/>
    </xf>
    <xf numFmtId="0" fontId="6" fillId="16" borderId="68" xfId="0" applyFont="1" applyFill="1" applyBorder="1" applyAlignment="1" applyProtection="1">
      <alignment horizontal="center" vertical="center" wrapText="1" shrinkToFit="1"/>
    </xf>
    <xf numFmtId="0" fontId="6" fillId="16" borderId="72" xfId="0" applyFont="1" applyFill="1" applyBorder="1" applyAlignment="1" applyProtection="1">
      <alignment horizontal="center" vertical="center" wrapText="1" shrinkToFit="1"/>
    </xf>
    <xf numFmtId="0" fontId="6" fillId="16" borderId="69" xfId="0" applyFont="1" applyFill="1" applyBorder="1" applyAlignment="1" applyProtection="1">
      <alignment horizontal="center" vertical="center" wrapText="1" shrinkToFit="1"/>
    </xf>
    <xf numFmtId="0" fontId="2" fillId="9" borderId="71" xfId="0" applyFont="1" applyFill="1" applyBorder="1" applyAlignment="1" applyProtection="1">
      <alignment horizontal="center" vertical="center" wrapText="1" shrinkToFit="1"/>
    </xf>
    <xf numFmtId="0" fontId="2" fillId="9" borderId="68" xfId="0" applyFont="1" applyFill="1" applyBorder="1" applyAlignment="1" applyProtection="1">
      <alignment horizontal="center" vertical="center" wrapText="1" shrinkToFit="1"/>
    </xf>
    <xf numFmtId="0" fontId="2" fillId="9" borderId="72" xfId="0" applyFont="1" applyFill="1" applyBorder="1" applyAlignment="1" applyProtection="1">
      <alignment horizontal="center" vertical="center" wrapText="1" shrinkToFit="1"/>
    </xf>
    <xf numFmtId="0" fontId="2" fillId="9" borderId="69" xfId="0" applyFont="1" applyFill="1" applyBorder="1" applyAlignment="1" applyProtection="1">
      <alignment horizontal="center" vertical="center" wrapText="1" shrinkToFit="1"/>
    </xf>
    <xf numFmtId="0" fontId="2" fillId="9" borderId="73" xfId="0" applyFont="1" applyFill="1" applyBorder="1" applyAlignment="1" applyProtection="1">
      <alignment horizontal="center" vertical="center" wrapText="1" shrinkToFit="1"/>
    </xf>
    <xf numFmtId="0" fontId="2" fillId="9" borderId="48" xfId="0" applyFont="1" applyFill="1" applyBorder="1" applyAlignment="1" applyProtection="1">
      <alignment horizontal="center" vertical="center" wrapText="1" shrinkToFit="1"/>
    </xf>
    <xf numFmtId="0" fontId="19" fillId="5" borderId="18" xfId="0" applyFont="1" applyFill="1" applyBorder="1" applyAlignment="1" applyProtection="1">
      <alignment horizontal="center" vertical="center" wrapText="1"/>
    </xf>
    <xf numFmtId="0" fontId="19" fillId="5" borderId="19"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xf>
    <xf numFmtId="0" fontId="21" fillId="4" borderId="19" xfId="0" applyFont="1" applyFill="1" applyBorder="1" applyAlignment="1" applyProtection="1">
      <alignment horizontal="center" vertical="center" wrapText="1"/>
    </xf>
    <xf numFmtId="0" fontId="23" fillId="9" borderId="18" xfId="0" applyFont="1" applyFill="1" applyBorder="1" applyAlignment="1" applyProtection="1">
      <alignment horizontal="left" vertical="center"/>
    </xf>
    <xf numFmtId="44" fontId="23" fillId="9" borderId="19" xfId="0" applyNumberFormat="1" applyFont="1" applyFill="1" applyBorder="1" applyAlignment="1" applyProtection="1">
      <alignment horizontal="left" vertical="center"/>
    </xf>
    <xf numFmtId="0" fontId="0" fillId="0" borderId="68" xfId="0" applyBorder="1" applyProtection="1"/>
    <xf numFmtId="0" fontId="0" fillId="0" borderId="0" xfId="0" applyProtection="1"/>
    <xf numFmtId="0" fontId="0" fillId="0" borderId="69" xfId="0" applyBorder="1" applyProtection="1"/>
    <xf numFmtId="0" fontId="0" fillId="0" borderId="48" xfId="0" applyBorder="1" applyProtection="1"/>
    <xf numFmtId="0" fontId="0" fillId="0" borderId="19" xfId="0" applyBorder="1" applyProtection="1">
      <protection locked="0"/>
    </xf>
    <xf numFmtId="0" fontId="15" fillId="16" borderId="31" xfId="5" applyFont="1" applyFill="1" applyBorder="1" applyAlignment="1" applyProtection="1">
      <alignment horizontal="center" vertical="center"/>
    </xf>
    <xf numFmtId="0" fontId="15" fillId="16" borderId="32" xfId="5" applyFont="1" applyFill="1" applyBorder="1" applyAlignment="1" applyProtection="1">
      <alignment horizontal="center" vertical="center"/>
    </xf>
    <xf numFmtId="0" fontId="15" fillId="16" borderId="1" xfId="5" applyFont="1" applyFill="1" applyBorder="1" applyAlignment="1" applyProtection="1">
      <alignment horizontal="center" vertical="center"/>
    </xf>
    <xf numFmtId="0" fontId="15" fillId="16" borderId="0" xfId="5" applyFont="1" applyFill="1" applyBorder="1" applyAlignment="1" applyProtection="1">
      <alignment horizontal="center" vertical="center"/>
    </xf>
    <xf numFmtId="0" fontId="15" fillId="16" borderId="90" xfId="5" applyFont="1" applyFill="1" applyBorder="1" applyAlignment="1" applyProtection="1">
      <alignment horizontal="center" vertical="center"/>
    </xf>
    <xf numFmtId="0" fontId="15" fillId="11" borderId="79" xfId="5" applyFont="1" applyFill="1" applyBorder="1" applyAlignment="1" applyProtection="1">
      <alignment horizontal="center" vertical="center" wrapText="1"/>
    </xf>
    <xf numFmtId="0" fontId="15" fillId="9" borderId="12" xfId="5" applyFont="1" applyFill="1" applyBorder="1" applyAlignment="1" applyProtection="1">
      <alignment horizontal="center" vertical="center" wrapText="1"/>
    </xf>
    <xf numFmtId="0" fontId="2" fillId="4" borderId="61" xfId="0" applyNumberFormat="1" applyFont="1" applyFill="1" applyBorder="1" applyAlignment="1" applyProtection="1">
      <alignment horizontal="center" vertical="center" shrinkToFit="1"/>
      <protection locked="0"/>
    </xf>
    <xf numFmtId="0" fontId="2" fillId="4" borderId="62" xfId="0" applyNumberFormat="1" applyFont="1" applyFill="1" applyBorder="1" applyAlignment="1" applyProtection="1">
      <alignment horizontal="center" vertical="center" shrinkToFit="1"/>
      <protection locked="0"/>
    </xf>
    <xf numFmtId="0" fontId="2" fillId="4" borderId="63" xfId="0" applyNumberFormat="1" applyFont="1" applyFill="1" applyBorder="1" applyAlignment="1" applyProtection="1">
      <alignment horizontal="center" vertical="center" shrinkToFit="1"/>
      <protection locked="0"/>
    </xf>
    <xf numFmtId="0" fontId="24" fillId="2" borderId="0" xfId="0" applyFont="1" applyFill="1" applyBorder="1" applyAlignment="1">
      <alignment horizontal="left" wrapText="1"/>
    </xf>
    <xf numFmtId="0" fontId="24" fillId="2" borderId="0" xfId="0" applyFont="1" applyFill="1" applyBorder="1" applyAlignment="1">
      <alignment horizontal="left" vertical="top" wrapText="1"/>
    </xf>
    <xf numFmtId="0" fontId="2" fillId="2" borderId="0" xfId="0" applyFont="1" applyFill="1" applyBorder="1" applyAlignment="1">
      <alignment wrapText="1"/>
    </xf>
    <xf numFmtId="0" fontId="2" fillId="2" borderId="4" xfId="0" applyFont="1" applyFill="1" applyBorder="1" applyAlignment="1">
      <alignment wrapText="1"/>
    </xf>
    <xf numFmtId="0" fontId="2" fillId="8" borderId="26" xfId="0" applyFont="1" applyFill="1" applyBorder="1" applyAlignment="1" applyProtection="1">
      <alignment horizontal="left" vertical="center" wrapText="1"/>
    </xf>
    <xf numFmtId="0" fontId="2" fillId="8" borderId="23" xfId="0" applyFont="1" applyFill="1" applyBorder="1" applyAlignment="1" applyProtection="1">
      <alignment horizontal="left" vertical="center" wrapText="1"/>
    </xf>
    <xf numFmtId="0" fontId="2" fillId="8" borderId="27" xfId="0" applyFont="1" applyFill="1" applyBorder="1" applyAlignment="1" applyProtection="1">
      <alignment horizontal="left" vertical="center" wrapText="1"/>
    </xf>
    <xf numFmtId="0" fontId="6" fillId="14" borderId="71" xfId="0" applyFont="1" applyFill="1" applyBorder="1" applyAlignment="1" applyProtection="1">
      <alignment horizontal="center" vertical="center" wrapText="1" shrinkToFit="1"/>
    </xf>
    <xf numFmtId="0" fontId="6" fillId="14" borderId="21" xfId="0" applyFont="1" applyFill="1" applyBorder="1" applyAlignment="1" applyProtection="1">
      <alignment horizontal="center" vertical="center" wrapText="1" shrinkToFit="1"/>
    </xf>
    <xf numFmtId="0" fontId="6" fillId="14" borderId="68" xfId="0" applyFont="1" applyFill="1" applyBorder="1" applyAlignment="1" applyProtection="1">
      <alignment horizontal="center" vertical="center" wrapText="1" shrinkToFit="1"/>
    </xf>
    <xf numFmtId="0" fontId="6" fillId="14" borderId="72" xfId="0" applyFont="1" applyFill="1" applyBorder="1" applyAlignment="1" applyProtection="1">
      <alignment horizontal="center" vertical="center" wrapText="1" shrinkToFit="1"/>
    </xf>
    <xf numFmtId="0" fontId="6" fillId="14" borderId="69" xfId="0" applyFont="1" applyFill="1" applyBorder="1" applyAlignment="1" applyProtection="1">
      <alignment horizontal="center" vertical="center" wrapText="1" shrinkToFit="1"/>
    </xf>
    <xf numFmtId="0" fontId="15" fillId="14" borderId="31" xfId="5" applyFont="1" applyFill="1" applyBorder="1" applyAlignment="1" applyProtection="1">
      <alignment horizontal="center" vertical="center"/>
    </xf>
    <xf numFmtId="0" fontId="15" fillId="14" borderId="32" xfId="5" applyFont="1" applyFill="1" applyBorder="1" applyAlignment="1" applyProtection="1">
      <alignment horizontal="center" vertical="center"/>
    </xf>
    <xf numFmtId="0" fontId="15" fillId="14" borderId="1" xfId="5" applyFont="1" applyFill="1" applyBorder="1" applyAlignment="1" applyProtection="1">
      <alignment horizontal="center" vertical="center"/>
    </xf>
    <xf numFmtId="0" fontId="15" fillId="14" borderId="0" xfId="5" applyFont="1" applyFill="1" applyBorder="1" applyAlignment="1" applyProtection="1">
      <alignment horizontal="center" vertical="center"/>
    </xf>
    <xf numFmtId="0" fontId="15" fillId="14" borderId="90" xfId="5" applyFont="1" applyFill="1" applyBorder="1" applyAlignment="1" applyProtection="1">
      <alignment horizontal="center" vertical="center"/>
    </xf>
    <xf numFmtId="0" fontId="2" fillId="2" borderId="0" xfId="0" applyFont="1" applyFill="1" applyBorder="1"/>
    <xf numFmtId="0" fontId="40" fillId="15" borderId="31" xfId="0" applyFont="1" applyFill="1" applyBorder="1" applyAlignment="1" applyProtection="1">
      <alignment horizontal="center" vertical="center" wrapText="1" shrinkToFit="1"/>
    </xf>
    <xf numFmtId="0" fontId="40" fillId="15" borderId="32" xfId="0" applyFont="1" applyFill="1" applyBorder="1" applyAlignment="1" applyProtection="1">
      <alignment horizontal="center" vertical="center" wrapText="1" shrinkToFit="1"/>
    </xf>
    <xf numFmtId="0" fontId="40" fillId="15" borderId="28" xfId="0" applyFont="1" applyFill="1" applyBorder="1" applyAlignment="1" applyProtection="1">
      <alignment horizontal="center" vertical="center" wrapText="1" shrinkToFit="1"/>
    </xf>
    <xf numFmtId="0" fontId="40" fillId="15" borderId="1" xfId="0" applyFont="1" applyFill="1" applyBorder="1" applyAlignment="1" applyProtection="1">
      <alignment horizontal="center" vertical="center" wrapText="1" shrinkToFit="1"/>
    </xf>
    <xf numFmtId="0" fontId="40" fillId="15" borderId="0" xfId="0" applyFont="1" applyFill="1" applyBorder="1" applyAlignment="1" applyProtection="1">
      <alignment horizontal="center" vertical="center" wrapText="1" shrinkToFit="1"/>
    </xf>
    <xf numFmtId="0" fontId="40" fillId="15" borderId="2" xfId="0" applyFont="1" applyFill="1" applyBorder="1" applyAlignment="1" applyProtection="1">
      <alignment horizontal="center" vertical="center" wrapText="1" shrinkToFit="1"/>
    </xf>
    <xf numFmtId="0" fontId="4" fillId="15" borderId="71" xfId="0" applyFont="1" applyFill="1" applyBorder="1" applyAlignment="1" applyProtection="1">
      <alignment horizontal="center" vertical="center" wrapText="1" shrinkToFit="1"/>
    </xf>
    <xf numFmtId="0" fontId="4" fillId="15" borderId="21" xfId="0" applyFont="1" applyFill="1" applyBorder="1" applyAlignment="1" applyProtection="1">
      <alignment horizontal="center" vertical="center" wrapText="1" shrinkToFit="1"/>
    </xf>
    <xf numFmtId="0" fontId="4" fillId="15" borderId="68" xfId="0" applyFont="1" applyFill="1" applyBorder="1" applyAlignment="1" applyProtection="1">
      <alignment horizontal="center" vertical="center" wrapText="1" shrinkToFit="1"/>
    </xf>
    <xf numFmtId="0" fontId="4" fillId="15" borderId="72" xfId="0" applyFont="1" applyFill="1" applyBorder="1" applyAlignment="1" applyProtection="1">
      <alignment horizontal="center" vertical="center" wrapText="1" shrinkToFit="1"/>
    </xf>
    <xf numFmtId="0" fontId="4" fillId="15" borderId="0" xfId="0" applyFont="1" applyFill="1" applyBorder="1" applyAlignment="1" applyProtection="1">
      <alignment horizontal="center" vertical="center" wrapText="1" shrinkToFit="1"/>
    </xf>
    <xf numFmtId="0" fontId="4" fillId="15" borderId="69" xfId="0" applyFont="1" applyFill="1" applyBorder="1" applyAlignment="1" applyProtection="1">
      <alignment horizontal="center" vertical="center" wrapText="1" shrinkToFit="1"/>
    </xf>
    <xf numFmtId="0" fontId="41" fillId="15" borderId="31" xfId="5" applyFont="1" applyFill="1" applyBorder="1" applyAlignment="1" applyProtection="1">
      <alignment horizontal="center" vertical="center"/>
    </xf>
    <xf numFmtId="0" fontId="41" fillId="15" borderId="32" xfId="5" applyFont="1" applyFill="1" applyBorder="1" applyAlignment="1" applyProtection="1">
      <alignment horizontal="center" vertical="center"/>
    </xf>
    <xf numFmtId="0" fontId="41" fillId="15" borderId="1" xfId="5" applyFont="1" applyFill="1" applyBorder="1" applyAlignment="1" applyProtection="1">
      <alignment horizontal="center" vertical="center"/>
    </xf>
    <xf numFmtId="0" fontId="41" fillId="15" borderId="0" xfId="5" applyFont="1" applyFill="1" applyBorder="1" applyAlignment="1" applyProtection="1">
      <alignment horizontal="center" vertical="center"/>
    </xf>
    <xf numFmtId="0" fontId="41" fillId="15" borderId="90" xfId="5" applyFont="1" applyFill="1" applyBorder="1" applyAlignment="1" applyProtection="1">
      <alignment horizontal="center" vertical="center"/>
    </xf>
    <xf numFmtId="0" fontId="2" fillId="2" borderId="0" xfId="5" applyFont="1" applyFill="1" applyBorder="1" applyAlignment="1" applyProtection="1">
      <alignment horizontal="left" wrapText="1" shrinkToFit="1"/>
    </xf>
    <xf numFmtId="0" fontId="2" fillId="4" borderId="61" xfId="5" applyNumberFormat="1" applyFont="1" applyFill="1" applyBorder="1" applyAlignment="1" applyProtection="1">
      <alignment vertical="center" shrinkToFit="1"/>
      <protection locked="0"/>
    </xf>
    <xf numFmtId="0" fontId="2" fillId="4" borderId="62" xfId="5" applyNumberFormat="1" applyFont="1" applyFill="1" applyBorder="1" applyAlignment="1" applyProtection="1">
      <alignment vertical="center" shrinkToFit="1"/>
      <protection locked="0"/>
    </xf>
    <xf numFmtId="0" fontId="2" fillId="4" borderId="63" xfId="5" applyNumberFormat="1" applyFont="1" applyFill="1" applyBorder="1" applyAlignment="1" applyProtection="1">
      <alignment vertical="center" shrinkToFit="1"/>
      <protection locked="0"/>
    </xf>
    <xf numFmtId="0" fontId="2" fillId="8" borderId="0" xfId="5" applyFont="1" applyFill="1" applyBorder="1" applyAlignment="1" applyProtection="1">
      <alignment wrapText="1" shrinkToFit="1"/>
    </xf>
    <xf numFmtId="0" fontId="6" fillId="17" borderId="31" xfId="5" applyFont="1" applyFill="1" applyBorder="1" applyAlignment="1" applyProtection="1">
      <alignment horizontal="center" vertical="center" wrapText="1" shrinkToFit="1"/>
    </xf>
    <xf numFmtId="0" fontId="6" fillId="17" borderId="32" xfId="5" applyFont="1" applyFill="1" applyBorder="1" applyAlignment="1" applyProtection="1">
      <alignment horizontal="center" vertical="center" wrapText="1" shrinkToFit="1"/>
    </xf>
    <xf numFmtId="0" fontId="6" fillId="17" borderId="28" xfId="5" applyFont="1" applyFill="1" applyBorder="1" applyAlignment="1" applyProtection="1">
      <alignment horizontal="center" vertical="center" wrapText="1" shrinkToFit="1"/>
    </xf>
    <xf numFmtId="0" fontId="6" fillId="17" borderId="1" xfId="5" applyFont="1" applyFill="1" applyBorder="1" applyAlignment="1" applyProtection="1">
      <alignment horizontal="center" vertical="center" wrapText="1" shrinkToFit="1"/>
    </xf>
    <xf numFmtId="0" fontId="6" fillId="17" borderId="0" xfId="5" applyFont="1" applyFill="1" applyBorder="1" applyAlignment="1" applyProtection="1">
      <alignment horizontal="center" vertical="center" wrapText="1" shrinkToFit="1"/>
    </xf>
    <xf numFmtId="0" fontId="6" fillId="17" borderId="2" xfId="5" applyFont="1" applyFill="1" applyBorder="1" applyAlignment="1" applyProtection="1">
      <alignment horizontal="center" vertical="center" wrapText="1" shrinkToFit="1"/>
    </xf>
    <xf numFmtId="0" fontId="2" fillId="9" borderId="71" xfId="5" applyFont="1" applyFill="1" applyBorder="1" applyAlignment="1" applyProtection="1">
      <alignment horizontal="center" vertical="center" wrapText="1" shrinkToFit="1"/>
    </xf>
    <xf numFmtId="0" fontId="2" fillId="9" borderId="68" xfId="5" applyFont="1" applyFill="1" applyBorder="1" applyAlignment="1" applyProtection="1">
      <alignment horizontal="center" vertical="center" wrapText="1" shrinkToFit="1"/>
    </xf>
    <xf numFmtId="0" fontId="2" fillId="9" borderId="73" xfId="5" applyFont="1" applyFill="1" applyBorder="1" applyAlignment="1" applyProtection="1">
      <alignment horizontal="center" vertical="center" wrapText="1" shrinkToFit="1"/>
    </xf>
    <xf numFmtId="0" fontId="2" fillId="9" borderId="48" xfId="5" applyFont="1" applyFill="1" applyBorder="1" applyAlignment="1" applyProtection="1">
      <alignment horizontal="center" vertical="center" wrapText="1" shrinkToFit="1"/>
    </xf>
    <xf numFmtId="0" fontId="3" fillId="2" borderId="0" xfId="5" applyFont="1" applyFill="1" applyBorder="1" applyAlignment="1" applyProtection="1">
      <alignment wrapText="1" shrinkToFit="1"/>
    </xf>
    <xf numFmtId="0" fontId="3" fillId="2" borderId="2" xfId="5" applyFont="1" applyFill="1" applyBorder="1" applyAlignment="1" applyProtection="1">
      <alignment wrapText="1" shrinkToFit="1"/>
    </xf>
    <xf numFmtId="0" fontId="15" fillId="2" borderId="0" xfId="5" applyFont="1" applyFill="1" applyBorder="1" applyAlignment="1" applyProtection="1">
      <alignment horizontal="left" shrinkToFit="1"/>
    </xf>
    <xf numFmtId="0" fontId="15" fillId="8" borderId="6" xfId="5" applyFont="1" applyFill="1" applyBorder="1" applyAlignment="1" applyProtection="1">
      <alignment horizontal="left" vertical="top" wrapText="1"/>
    </xf>
    <xf numFmtId="44" fontId="15" fillId="8" borderId="6" xfId="5" applyNumberFormat="1" applyFont="1" applyFill="1" applyBorder="1" applyAlignment="1" applyProtection="1">
      <alignment horizontal="right" vertical="top" wrapText="1"/>
      <protection locked="0"/>
    </xf>
    <xf numFmtId="44" fontId="15" fillId="8" borderId="30" xfId="5" applyNumberFormat="1" applyFont="1" applyFill="1" applyBorder="1" applyAlignment="1" applyProtection="1">
      <alignment horizontal="right" vertical="top" wrapText="1"/>
      <protection locked="0"/>
    </xf>
    <xf numFmtId="0" fontId="2" fillId="11" borderId="6" xfId="5" applyFont="1" applyFill="1" applyBorder="1" applyAlignment="1" applyProtection="1">
      <alignment horizontal="left" vertical="center" wrapText="1"/>
    </xf>
    <xf numFmtId="0" fontId="2" fillId="11" borderId="30" xfId="5" applyFont="1" applyFill="1" applyBorder="1" applyAlignment="1" applyProtection="1">
      <alignment horizontal="left" vertical="center" wrapText="1"/>
    </xf>
    <xf numFmtId="0" fontId="2" fillId="2" borderId="71" xfId="5" applyFont="1" applyFill="1" applyBorder="1" applyAlignment="1" applyProtection="1">
      <alignment shrinkToFit="1"/>
    </xf>
    <xf numFmtId="0" fontId="2" fillId="2" borderId="21" xfId="5" applyFont="1" applyFill="1" applyBorder="1" applyAlignment="1" applyProtection="1">
      <alignment shrinkToFit="1"/>
    </xf>
    <xf numFmtId="0" fontId="2" fillId="2" borderId="24" xfId="5" applyFont="1" applyFill="1" applyBorder="1" applyAlignment="1" applyProtection="1">
      <alignment shrinkToFit="1"/>
    </xf>
    <xf numFmtId="0" fontId="2" fillId="2" borderId="72" xfId="5" applyFont="1" applyFill="1" applyBorder="1" applyAlignment="1" applyProtection="1">
      <alignment shrinkToFit="1"/>
    </xf>
    <xf numFmtId="0" fontId="2" fillId="2" borderId="0" xfId="5" applyFont="1" applyFill="1" applyBorder="1" applyAlignment="1" applyProtection="1">
      <alignment shrinkToFit="1"/>
    </xf>
    <xf numFmtId="0" fontId="2" fillId="2" borderId="2" xfId="5" applyFont="1" applyFill="1" applyBorder="1" applyAlignment="1" applyProtection="1">
      <alignment shrinkToFit="1"/>
    </xf>
    <xf numFmtId="0" fontId="2" fillId="2" borderId="73" xfId="5" applyFont="1" applyFill="1" applyBorder="1" applyAlignment="1" applyProtection="1">
      <alignment shrinkToFit="1"/>
    </xf>
    <xf numFmtId="0" fontId="2" fillId="2" borderId="23" xfId="5" applyFont="1" applyFill="1" applyBorder="1" applyAlignment="1" applyProtection="1">
      <alignment shrinkToFit="1"/>
    </xf>
    <xf numFmtId="0" fontId="2" fillId="2" borderId="27" xfId="5" applyFont="1" applyFill="1" applyBorder="1" applyAlignment="1" applyProtection="1">
      <alignment shrinkToFit="1"/>
    </xf>
    <xf numFmtId="0" fontId="2" fillId="8" borderId="0" xfId="5" applyFill="1" applyBorder="1" applyAlignment="1" applyProtection="1">
      <alignment wrapText="1" shrinkToFit="1"/>
    </xf>
    <xf numFmtId="0" fontId="2" fillId="8" borderId="69" xfId="0" applyFont="1" applyFill="1" applyBorder="1" applyAlignment="1" applyProtection="1">
      <alignment wrapText="1" shrinkToFit="1"/>
    </xf>
    <xf numFmtId="0" fontId="2" fillId="8" borderId="23" xfId="0" applyFont="1" applyFill="1" applyBorder="1" applyAlignment="1" applyProtection="1">
      <alignment wrapText="1" shrinkToFit="1"/>
    </xf>
    <xf numFmtId="0" fontId="2" fillId="8" borderId="48" xfId="0" applyFont="1" applyFill="1" applyBorder="1" applyAlignment="1" applyProtection="1">
      <alignment wrapText="1" shrinkToFit="1"/>
    </xf>
    <xf numFmtId="0" fontId="4" fillId="24" borderId="71" xfId="0" applyFont="1" applyFill="1" applyBorder="1" applyAlignment="1" applyProtection="1">
      <alignment horizontal="center" vertical="center" wrapText="1" shrinkToFit="1"/>
    </xf>
    <xf numFmtId="0" fontId="4" fillId="24" borderId="21" xfId="0" applyFont="1" applyFill="1" applyBorder="1" applyAlignment="1" applyProtection="1">
      <alignment horizontal="center" vertical="center" wrapText="1" shrinkToFit="1"/>
    </xf>
    <xf numFmtId="0" fontId="4" fillId="24" borderId="68" xfId="0" applyFont="1" applyFill="1" applyBorder="1" applyAlignment="1" applyProtection="1">
      <alignment horizontal="center" vertical="center" wrapText="1" shrinkToFit="1"/>
    </xf>
    <xf numFmtId="0" fontId="4" fillId="24" borderId="72" xfId="0" applyFont="1" applyFill="1" applyBorder="1" applyAlignment="1" applyProtection="1">
      <alignment horizontal="center" vertical="center" wrapText="1" shrinkToFit="1"/>
    </xf>
    <xf numFmtId="0" fontId="4" fillId="24" borderId="0" xfId="0" applyFont="1" applyFill="1" applyBorder="1" applyAlignment="1" applyProtection="1">
      <alignment horizontal="center" vertical="center" wrapText="1" shrinkToFit="1"/>
    </xf>
    <xf numFmtId="0" fontId="4" fillId="24" borderId="69" xfId="0" applyFont="1" applyFill="1" applyBorder="1" applyAlignment="1" applyProtection="1">
      <alignment horizontal="center" vertical="center" wrapText="1" shrinkToFit="1"/>
    </xf>
    <xf numFmtId="0" fontId="3" fillId="2" borderId="0" xfId="0" applyFont="1" applyFill="1" applyBorder="1" applyAlignment="1" applyProtection="1">
      <alignment wrapText="1" shrinkToFit="1"/>
    </xf>
    <xf numFmtId="0" fontId="3" fillId="2" borderId="69" xfId="0" applyFont="1" applyFill="1" applyBorder="1" applyAlignment="1" applyProtection="1">
      <alignment wrapText="1" shrinkToFit="1"/>
    </xf>
    <xf numFmtId="0" fontId="2" fillId="2" borderId="0" xfId="0" applyFont="1" applyFill="1" applyBorder="1" applyAlignment="1" applyProtection="1">
      <alignment shrinkToFit="1"/>
    </xf>
    <xf numFmtId="0" fontId="2" fillId="2" borderId="69" xfId="0" applyFont="1" applyFill="1" applyBorder="1" applyAlignment="1" applyProtection="1">
      <alignment shrinkToFit="1"/>
    </xf>
    <xf numFmtId="44" fontId="2" fillId="0" borderId="30" xfId="1" applyFont="1" applyFill="1" applyBorder="1" applyAlignment="1">
      <alignment vertical="center" wrapText="1" shrinkToFit="1"/>
    </xf>
    <xf numFmtId="0" fontId="15" fillId="18" borderId="71" xfId="0" applyFont="1" applyFill="1" applyBorder="1" applyAlignment="1">
      <alignment horizontal="center" vertical="center" wrapText="1" shrinkToFit="1"/>
    </xf>
    <xf numFmtId="0" fontId="15" fillId="18" borderId="68" xfId="0" applyFont="1" applyFill="1" applyBorder="1" applyAlignment="1">
      <alignment horizontal="center" vertical="center" wrapText="1" shrinkToFit="1"/>
    </xf>
    <xf numFmtId="0" fontId="15" fillId="18" borderId="72" xfId="0" applyFont="1" applyFill="1" applyBorder="1" applyAlignment="1">
      <alignment horizontal="center" vertical="center" wrapText="1" shrinkToFit="1"/>
    </xf>
    <xf numFmtId="0" fontId="15" fillId="18" borderId="69" xfId="0" applyFont="1" applyFill="1" applyBorder="1" applyAlignment="1">
      <alignment horizontal="center" vertical="center" wrapText="1" shrinkToFit="1"/>
    </xf>
    <xf numFmtId="0" fontId="15" fillId="18" borderId="94" xfId="0" applyFont="1" applyFill="1" applyBorder="1" applyAlignment="1">
      <alignment horizontal="center" vertical="center" wrapText="1" shrinkToFit="1"/>
    </xf>
    <xf numFmtId="0" fontId="15" fillId="18" borderId="95" xfId="0" applyFont="1" applyFill="1" applyBorder="1" applyAlignment="1">
      <alignment horizontal="center" vertical="center" wrapText="1" shrinkToFit="1"/>
    </xf>
    <xf numFmtId="44" fontId="2" fillId="0" borderId="50" xfId="1" applyFont="1" applyFill="1" applyBorder="1" applyAlignment="1">
      <alignment horizontal="left" vertical="center" wrapText="1" shrinkToFit="1"/>
    </xf>
    <xf numFmtId="44" fontId="2" fillId="0" borderId="70" xfId="1" applyFont="1" applyFill="1" applyBorder="1" applyAlignment="1">
      <alignment horizontal="left" vertical="center" wrapText="1" shrinkToFit="1"/>
    </xf>
    <xf numFmtId="44" fontId="2" fillId="0" borderId="57" xfId="1" applyFont="1" applyFill="1" applyBorder="1" applyAlignment="1">
      <alignment horizontal="left" vertical="center" wrapText="1" shrinkToFit="1"/>
    </xf>
    <xf numFmtId="44" fontId="2" fillId="0" borderId="6" xfId="1" applyFont="1" applyFill="1" applyBorder="1" applyAlignment="1">
      <alignment horizontal="left" vertical="center" wrapText="1" shrinkToFit="1"/>
    </xf>
    <xf numFmtId="44" fontId="2" fillId="0" borderId="42" xfId="1" applyFont="1" applyFill="1" applyBorder="1" applyAlignment="1">
      <alignment horizontal="left" vertical="center" wrapText="1" shrinkToFit="1"/>
    </xf>
    <xf numFmtId="44" fontId="2" fillId="0" borderId="30" xfId="1" applyFont="1" applyFill="1" applyBorder="1" applyAlignment="1">
      <alignment horizontal="left" vertical="center" wrapText="1" shrinkToFit="1"/>
    </xf>
    <xf numFmtId="44" fontId="2" fillId="0" borderId="43" xfId="1" applyFont="1" applyFill="1" applyBorder="1" applyAlignment="1">
      <alignment horizontal="left" vertical="center" wrapText="1" shrinkToFit="1"/>
    </xf>
    <xf numFmtId="0" fontId="15" fillId="18" borderId="73" xfId="0" applyFont="1" applyFill="1" applyBorder="1" applyAlignment="1">
      <alignment horizontal="center" vertical="center" wrapText="1" shrinkToFit="1"/>
    </xf>
    <xf numFmtId="0" fontId="15" fillId="18" borderId="48" xfId="0" applyFont="1" applyFill="1" applyBorder="1" applyAlignment="1">
      <alignment horizontal="center" vertical="center" wrapText="1" shrinkToFit="1"/>
    </xf>
    <xf numFmtId="44" fontId="2" fillId="0" borderId="50" xfId="1" applyFont="1" applyFill="1" applyBorder="1" applyAlignment="1">
      <alignment vertical="center" wrapText="1" shrinkToFit="1"/>
    </xf>
    <xf numFmtId="44" fontId="2" fillId="0" borderId="70" xfId="1" applyFont="1" applyFill="1" applyBorder="1" applyAlignment="1">
      <alignment vertical="center" wrapText="1" shrinkToFit="1"/>
    </xf>
    <xf numFmtId="44" fontId="2" fillId="0" borderId="36" xfId="1" applyFont="1" applyFill="1" applyBorder="1" applyAlignment="1">
      <alignment vertical="center" wrapText="1" shrinkToFit="1"/>
    </xf>
    <xf numFmtId="44" fontId="2" fillId="0" borderId="6" xfId="1" applyFont="1" applyFill="1" applyBorder="1" applyAlignment="1">
      <alignment vertical="center" wrapText="1" shrinkToFit="1"/>
    </xf>
    <xf numFmtId="0" fontId="15" fillId="3" borderId="17" xfId="0" applyFont="1" applyFill="1" applyBorder="1" applyAlignment="1">
      <alignment horizontal="center" vertical="center" textRotation="90" wrapText="1" shrinkToFit="1"/>
    </xf>
    <xf numFmtId="0" fontId="15" fillId="3" borderId="41" xfId="0" applyFont="1" applyFill="1" applyBorder="1" applyAlignment="1">
      <alignment horizontal="center" vertical="center" textRotation="90" wrapText="1" shrinkToFit="1"/>
    </xf>
    <xf numFmtId="44" fontId="2" fillId="0" borderId="36" xfId="1" applyFont="1" applyFill="1" applyBorder="1" applyAlignment="1">
      <alignment horizontal="left" vertical="center" wrapText="1" shrinkToFit="1"/>
    </xf>
    <xf numFmtId="0" fontId="6" fillId="8" borderId="38" xfId="0" applyFont="1" applyFill="1" applyBorder="1" applyAlignment="1">
      <alignment horizontal="center" vertical="center" wrapText="1" shrinkToFit="1"/>
    </xf>
    <xf numFmtId="0" fontId="6" fillId="8" borderId="39" xfId="0" applyFont="1" applyFill="1" applyBorder="1" applyAlignment="1">
      <alignment horizontal="center" vertical="center" wrapText="1" shrinkToFit="1"/>
    </xf>
    <xf numFmtId="0" fontId="6" fillId="8" borderId="40" xfId="0" applyFont="1" applyFill="1" applyBorder="1" applyAlignment="1">
      <alignment horizontal="center" vertical="center" wrapText="1" shrinkToFit="1"/>
    </xf>
    <xf numFmtId="0" fontId="6" fillId="8" borderId="17" xfId="0" applyFont="1" applyFill="1" applyBorder="1" applyAlignment="1">
      <alignment horizontal="center" vertical="center" wrapText="1" shrinkToFit="1"/>
    </xf>
    <xf numFmtId="0" fontId="6" fillId="8" borderId="6" xfId="0" applyFont="1" applyFill="1" applyBorder="1" applyAlignment="1">
      <alignment horizontal="center" vertical="center" wrapText="1" shrinkToFit="1"/>
    </xf>
    <xf numFmtId="0" fontId="6" fillId="8" borderId="30" xfId="0" applyFont="1" applyFill="1" applyBorder="1" applyAlignment="1">
      <alignment horizontal="center" vertical="center" wrapText="1" shrinkToFit="1"/>
    </xf>
    <xf numFmtId="0" fontId="2" fillId="18" borderId="17" xfId="0" applyFont="1" applyFill="1" applyBorder="1" applyAlignment="1">
      <alignment horizontal="center" vertical="center" wrapText="1" shrinkToFit="1"/>
    </xf>
    <xf numFmtId="0" fontId="2" fillId="18" borderId="6" xfId="0" applyFont="1" applyFill="1" applyBorder="1" applyAlignment="1">
      <alignment horizontal="center" vertical="center" wrapText="1" shrinkToFit="1"/>
    </xf>
    <xf numFmtId="0" fontId="2" fillId="18" borderId="30" xfId="0" applyFont="1" applyFill="1" applyBorder="1" applyAlignment="1">
      <alignment horizontal="center" vertical="center" wrapText="1" shrinkToFit="1"/>
    </xf>
    <xf numFmtId="0" fontId="15" fillId="3" borderId="25" xfId="0" applyFont="1" applyFill="1" applyBorder="1" applyAlignment="1">
      <alignment horizontal="center" vertical="center" wrapText="1" shrinkToFit="1"/>
    </xf>
    <xf numFmtId="0" fontId="15" fillId="3" borderId="21" xfId="0" applyFont="1" applyFill="1" applyBorder="1" applyAlignment="1">
      <alignment horizontal="center" vertical="center" wrapText="1" shrinkToFit="1"/>
    </xf>
    <xf numFmtId="0" fontId="15" fillId="3" borderId="68" xfId="0" applyFont="1" applyFill="1" applyBorder="1" applyAlignment="1">
      <alignment horizontal="center" vertical="center" wrapText="1" shrinkToFit="1"/>
    </xf>
    <xf numFmtId="0" fontId="15" fillId="3" borderId="1" xfId="0" applyFont="1" applyFill="1" applyBorder="1" applyAlignment="1">
      <alignment horizontal="center" vertical="center" wrapText="1" shrinkToFit="1"/>
    </xf>
    <xf numFmtId="0" fontId="15" fillId="3" borderId="0" xfId="0" applyFont="1" applyFill="1" applyBorder="1" applyAlignment="1">
      <alignment horizontal="center" vertical="center" wrapText="1" shrinkToFit="1"/>
    </xf>
    <xf numFmtId="0" fontId="15" fillId="3" borderId="69" xfId="0" applyFont="1" applyFill="1" applyBorder="1" applyAlignment="1">
      <alignment horizontal="center" vertical="center" wrapText="1" shrinkToFit="1"/>
    </xf>
    <xf numFmtId="0" fontId="15" fillId="3" borderId="26" xfId="0" applyFont="1" applyFill="1" applyBorder="1" applyAlignment="1">
      <alignment horizontal="center" vertical="center" wrapText="1" shrinkToFit="1"/>
    </xf>
    <xf numFmtId="0" fontId="15" fillId="3" borderId="23" xfId="0" applyFont="1" applyFill="1" applyBorder="1" applyAlignment="1">
      <alignment horizontal="center" vertical="center" wrapText="1" shrinkToFit="1"/>
    </xf>
    <xf numFmtId="0" fontId="15" fillId="3" borderId="48" xfId="0" applyFont="1" applyFill="1" applyBorder="1" applyAlignment="1">
      <alignment horizontal="center" vertical="center" wrapText="1" shrinkToFit="1"/>
    </xf>
    <xf numFmtId="0" fontId="15" fillId="3" borderId="6" xfId="0" applyFont="1" applyFill="1" applyBorder="1" applyAlignment="1">
      <alignment horizontal="center" vertical="center" wrapText="1" shrinkToFit="1"/>
    </xf>
    <xf numFmtId="0" fontId="15" fillId="3" borderId="30" xfId="0" applyFont="1" applyFill="1" applyBorder="1" applyAlignment="1">
      <alignment horizontal="center" vertical="center" wrapText="1" shrinkToFit="1"/>
    </xf>
    <xf numFmtId="0" fontId="15" fillId="18" borderId="50" xfId="0" applyFont="1" applyFill="1" applyBorder="1" applyAlignment="1">
      <alignment horizontal="center" vertical="center" wrapText="1" shrinkToFit="1"/>
    </xf>
    <xf numFmtId="0" fontId="15" fillId="18" borderId="70" xfId="0" applyFont="1" applyFill="1" applyBorder="1" applyAlignment="1">
      <alignment horizontal="center" vertical="center" wrapText="1" shrinkToFit="1"/>
    </xf>
    <xf numFmtId="0" fontId="15" fillId="18" borderId="36" xfId="0" applyFont="1" applyFill="1" applyBorder="1" applyAlignment="1">
      <alignment horizontal="center" vertical="center" wrapText="1" shrinkToFit="1"/>
    </xf>
    <xf numFmtId="0" fontId="15" fillId="18" borderId="6" xfId="0" applyFont="1" applyFill="1" applyBorder="1" applyAlignment="1">
      <alignment horizontal="center" vertical="center" wrapText="1" shrinkToFit="1"/>
    </xf>
    <xf numFmtId="0" fontId="15" fillId="18" borderId="30" xfId="0" applyFont="1" applyFill="1" applyBorder="1" applyAlignment="1">
      <alignment horizontal="center" vertical="center" wrapText="1" shrinkToFit="1"/>
    </xf>
    <xf numFmtId="0" fontId="36" fillId="5" borderId="18" xfId="5" applyFont="1" applyFill="1" applyBorder="1" applyAlignment="1" applyProtection="1">
      <alignment horizontal="center" vertical="center" shrinkToFit="1"/>
    </xf>
    <xf numFmtId="0" fontId="36" fillId="5" borderId="14" xfId="5" applyFont="1" applyFill="1" applyBorder="1" applyAlignment="1" applyProtection="1">
      <alignment horizontal="center" vertical="center" shrinkToFit="1"/>
    </xf>
    <xf numFmtId="0" fontId="36" fillId="5" borderId="19" xfId="5" applyFont="1" applyFill="1" applyBorder="1" applyAlignment="1" applyProtection="1">
      <alignment horizontal="center" vertical="center" shrinkToFit="1"/>
    </xf>
    <xf numFmtId="0" fontId="2" fillId="4" borderId="6" xfId="5" applyFont="1" applyFill="1" applyBorder="1" applyAlignment="1" applyProtection="1">
      <alignment vertical="center" shrinkToFit="1"/>
    </xf>
    <xf numFmtId="0" fontId="2" fillId="2" borderId="6" xfId="5" applyFont="1" applyFill="1" applyBorder="1" applyAlignment="1" applyProtection="1">
      <alignment shrinkToFit="1"/>
    </xf>
    <xf numFmtId="0" fontId="2" fillId="4" borderId="6" xfId="5" applyFont="1" applyFill="1" applyBorder="1" applyAlignment="1" applyProtection="1">
      <alignment shrinkToFit="1"/>
    </xf>
    <xf numFmtId="0" fontId="2" fillId="2" borderId="18" xfId="5" applyFont="1" applyFill="1" applyBorder="1" applyAlignment="1" applyProtection="1">
      <alignment shrinkToFit="1"/>
    </xf>
    <xf numFmtId="0" fontId="2" fillId="2" borderId="14" xfId="5" applyFont="1" applyFill="1" applyBorder="1" applyAlignment="1" applyProtection="1">
      <alignment shrinkToFit="1"/>
    </xf>
    <xf numFmtId="0" fontId="2" fillId="2" borderId="19" xfId="5" applyFont="1" applyFill="1" applyBorder="1" applyAlignment="1" applyProtection="1">
      <alignment shrinkToFit="1"/>
    </xf>
    <xf numFmtId="0" fontId="32" fillId="5" borderId="1" xfId="5" applyFont="1" applyFill="1" applyBorder="1" applyAlignment="1" applyProtection="1">
      <alignment horizontal="center" vertical="center" wrapText="1"/>
    </xf>
    <xf numFmtId="0" fontId="32" fillId="5" borderId="0" xfId="5" applyFont="1" applyFill="1" applyBorder="1" applyAlignment="1" applyProtection="1">
      <alignment horizontal="center" vertical="center" wrapText="1"/>
    </xf>
    <xf numFmtId="0" fontId="21" fillId="4" borderId="71" xfId="5" applyFont="1" applyFill="1" applyBorder="1" applyAlignment="1" applyProtection="1">
      <alignment horizontal="center" vertical="center" wrapText="1"/>
    </xf>
    <xf numFmtId="0" fontId="21" fillId="4" borderId="21" xfId="5" applyFont="1" applyFill="1" applyBorder="1" applyAlignment="1" applyProtection="1">
      <alignment horizontal="center" vertical="center" wrapText="1"/>
    </xf>
    <xf numFmtId="0" fontId="21" fillId="4" borderId="68" xfId="5" applyFont="1" applyFill="1" applyBorder="1" applyAlignment="1" applyProtection="1">
      <alignment horizontal="center" vertical="center" wrapText="1"/>
    </xf>
    <xf numFmtId="0" fontId="21" fillId="4" borderId="72" xfId="5" applyFont="1" applyFill="1" applyBorder="1" applyAlignment="1" applyProtection="1">
      <alignment horizontal="center" vertical="center" wrapText="1"/>
    </xf>
    <xf numFmtId="0" fontId="21" fillId="4" borderId="0" xfId="5" applyFont="1" applyFill="1" applyBorder="1" applyAlignment="1" applyProtection="1">
      <alignment horizontal="center" vertical="center" wrapText="1"/>
    </xf>
    <xf numFmtId="0" fontId="21" fillId="4" borderId="69" xfId="5" applyFont="1" applyFill="1" applyBorder="1" applyAlignment="1" applyProtection="1">
      <alignment horizontal="center" vertical="center" wrapText="1"/>
    </xf>
    <xf numFmtId="0" fontId="21" fillId="4" borderId="73" xfId="5" applyFont="1" applyFill="1" applyBorder="1" applyAlignment="1" applyProtection="1">
      <alignment horizontal="center" vertical="center" wrapText="1"/>
    </xf>
    <xf numFmtId="0" fontId="21" fillId="4" borderId="23" xfId="5" applyFont="1" applyFill="1" applyBorder="1" applyAlignment="1" applyProtection="1">
      <alignment horizontal="center" vertical="center" wrapText="1"/>
    </xf>
    <xf numFmtId="0" fontId="21" fillId="4" borderId="48" xfId="5" applyFont="1" applyFill="1" applyBorder="1" applyAlignment="1" applyProtection="1">
      <alignment horizontal="center" vertical="center" wrapText="1"/>
    </xf>
    <xf numFmtId="0" fontId="34" fillId="5" borderId="31" xfId="5" applyFont="1" applyFill="1" applyBorder="1" applyAlignment="1" applyProtection="1">
      <alignment horizontal="center" vertical="center" wrapText="1"/>
    </xf>
    <xf numFmtId="0" fontId="34" fillId="5" borderId="32" xfId="5" applyFont="1" applyFill="1" applyBorder="1" applyAlignment="1" applyProtection="1">
      <alignment horizontal="center" vertical="center" wrapText="1"/>
    </xf>
    <xf numFmtId="0" fontId="11" fillId="2" borderId="85" xfId="5" applyFont="1" applyFill="1" applyBorder="1" applyAlignment="1" applyProtection="1">
      <alignment horizontal="center" vertical="center" wrapText="1"/>
    </xf>
    <xf numFmtId="0" fontId="11" fillId="2" borderId="0" xfId="5" applyFont="1" applyFill="1" applyBorder="1" applyAlignment="1" applyProtection="1">
      <alignment horizontal="center" vertical="center" wrapText="1"/>
    </xf>
    <xf numFmtId="0" fontId="34" fillId="5" borderId="0" xfId="5" applyFont="1" applyFill="1" applyBorder="1" applyAlignment="1" applyProtection="1">
      <alignment horizontal="center" vertical="center" wrapText="1"/>
    </xf>
    <xf numFmtId="0" fontId="3" fillId="2" borderId="60" xfId="5" applyFont="1" applyFill="1" applyBorder="1" applyAlignment="1" applyProtection="1">
      <alignment horizontal="center" vertical="center" wrapText="1"/>
    </xf>
    <xf numFmtId="0" fontId="3" fillId="2" borderId="3" xfId="5" applyFont="1" applyFill="1" applyBorder="1" applyAlignment="1" applyProtection="1">
      <alignment horizontal="center" vertical="center" wrapText="1"/>
    </xf>
    <xf numFmtId="0" fontId="3" fillId="2" borderId="4" xfId="5" applyFont="1" applyFill="1" applyBorder="1" applyAlignment="1" applyProtection="1">
      <alignment horizontal="center" vertical="center" wrapText="1"/>
    </xf>
    <xf numFmtId="0" fontId="3" fillId="2" borderId="86" xfId="5" applyFont="1" applyFill="1" applyBorder="1" applyAlignment="1" applyProtection="1">
      <alignment horizontal="center" vertical="center" wrapText="1"/>
    </xf>
    <xf numFmtId="0" fontId="3" fillId="2" borderId="96" xfId="5" applyFont="1" applyFill="1" applyBorder="1" applyAlignment="1" applyProtection="1">
      <alignment horizontal="center" vertical="center" wrapText="1"/>
    </xf>
    <xf numFmtId="0" fontId="3" fillId="2" borderId="97" xfId="5" applyFont="1" applyFill="1" applyBorder="1" applyAlignment="1" applyProtection="1">
      <alignment horizontal="center" vertical="center" wrapText="1"/>
    </xf>
    <xf numFmtId="0" fontId="3" fillId="2" borderId="85" xfId="5" applyFont="1" applyFill="1" applyBorder="1" applyAlignment="1" applyProtection="1">
      <alignment horizontal="center" vertical="center" wrapText="1"/>
    </xf>
    <xf numFmtId="0" fontId="3" fillId="2" borderId="11" xfId="5" applyFont="1" applyFill="1" applyBorder="1" applyAlignment="1" applyProtection="1">
      <alignment horizontal="center" vertical="center" wrapText="1"/>
    </xf>
    <xf numFmtId="0" fontId="36" fillId="5" borderId="98" xfId="5" applyFont="1" applyFill="1" applyBorder="1" applyAlignment="1" applyProtection="1">
      <alignment horizontal="center" vertical="center" shrinkToFit="1"/>
    </xf>
    <xf numFmtId="0" fontId="36" fillId="5" borderId="99" xfId="5" applyFont="1" applyFill="1" applyBorder="1" applyAlignment="1" applyProtection="1">
      <alignment horizontal="center" vertical="center" shrinkToFit="1"/>
    </xf>
  </cellXfs>
  <cellStyles count="7">
    <cellStyle name="Currency 2" xfId="1"/>
    <cellStyle name="Hyperlink" xfId="2" builtinId="8"/>
    <cellStyle name="Hyperlink 2" xfId="3"/>
    <cellStyle name="Normal" xfId="0" builtinId="0"/>
    <cellStyle name="Normal 2" xfId="4"/>
    <cellStyle name="Normal 3" xfId="5"/>
    <cellStyle name="Percent" xfId="6" builtinId="5"/>
  </cellStyles>
  <dxfs count="51">
    <dxf>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b/>
        <i val="0"/>
        <strike val="0"/>
      </font>
      <fill>
        <patternFill>
          <bgColor rgb="FFFF0000"/>
        </patternFill>
      </fill>
    </dxf>
    <dxf>
      <font>
        <b/>
        <i val="0"/>
        <strike val="0"/>
      </font>
      <fill>
        <patternFill>
          <bgColor rgb="FFFF0000"/>
        </patternFill>
      </fill>
    </dxf>
    <dxf>
      <font>
        <strike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b/>
        <i/>
        <strike val="0"/>
      </font>
      <fill>
        <patternFill>
          <bgColor rgb="FFFF0000"/>
        </patternFill>
      </fill>
    </dxf>
    <dxf>
      <font>
        <b/>
        <i val="0"/>
      </font>
      <fill>
        <patternFill>
          <bgColor rgb="FF00FF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color auto="1"/>
      </font>
      <fill>
        <patternFill>
          <bgColor rgb="FF00B050"/>
        </patternFill>
      </fill>
    </dxf>
  </dxfs>
  <tableStyles count="0" defaultTableStyle="TableStyleMedium9" defaultPivotStyle="PivotStyleLight16"/>
  <colors>
    <mruColors>
      <color rgb="FF0066FF"/>
      <color rgb="FF0000FF"/>
      <color rgb="FF6600FF"/>
      <color rgb="FFFF0066"/>
      <color rgb="FFFF6600"/>
      <color rgb="FFFF9900"/>
      <color rgb="FFFF99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1000125</xdr:colOff>
      <xdr:row>15</xdr:row>
      <xdr:rowOff>66676</xdr:rowOff>
    </xdr:from>
    <xdr:to>
      <xdr:col>9</xdr:col>
      <xdr:colOff>628650</xdr:colOff>
      <xdr:row>19</xdr:row>
      <xdr:rowOff>228600</xdr:rowOff>
    </xdr:to>
    <xdr:sp macro="" textlink="">
      <xdr:nvSpPr>
        <xdr:cNvPr id="4" name="AutoShape 23"/>
        <xdr:cNvSpPr>
          <a:spLocks noChangeArrowheads="1"/>
        </xdr:cNvSpPr>
      </xdr:nvSpPr>
      <xdr:spPr bwMode="auto">
        <a:xfrm>
          <a:off x="7286625" y="3648076"/>
          <a:ext cx="2771775" cy="904874"/>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6</xdr:col>
      <xdr:colOff>295275</xdr:colOff>
      <xdr:row>15</xdr:row>
      <xdr:rowOff>190500</xdr:rowOff>
    </xdr:from>
    <xdr:to>
      <xdr:col>6</xdr:col>
      <xdr:colOff>1009650</xdr:colOff>
      <xdr:row>16</xdr:row>
      <xdr:rowOff>219075</xdr:rowOff>
    </xdr:to>
    <xdr:sp macro="" textlink="">
      <xdr:nvSpPr>
        <xdr:cNvPr id="30831" name="Line 25"/>
        <xdr:cNvSpPr>
          <a:spLocks noChangeShapeType="1"/>
        </xdr:cNvSpPr>
      </xdr:nvSpPr>
      <xdr:spPr bwMode="auto">
        <a:xfrm flipH="1" flipV="1">
          <a:off x="6581775" y="3895725"/>
          <a:ext cx="714375" cy="342900"/>
        </a:xfrm>
        <a:prstGeom prst="line">
          <a:avLst/>
        </a:prstGeom>
        <a:noFill/>
        <a:ln w="9525">
          <a:solidFill>
            <a:srgbClr val="000000"/>
          </a:solidFill>
          <a:round/>
          <a:headEnd/>
          <a:tailEnd type="triangle" w="med" len="med"/>
        </a:ln>
      </xdr:spPr>
    </xdr:sp>
    <xdr:clientData/>
  </xdr:twoCellAnchor>
  <xdr:twoCellAnchor>
    <xdr:from>
      <xdr:col>6</xdr:col>
      <xdr:colOff>342900</xdr:colOff>
      <xdr:row>18</xdr:row>
      <xdr:rowOff>238125</xdr:rowOff>
    </xdr:from>
    <xdr:to>
      <xdr:col>6</xdr:col>
      <xdr:colOff>1019175</xdr:colOff>
      <xdr:row>20</xdr:row>
      <xdr:rowOff>19050</xdr:rowOff>
    </xdr:to>
    <xdr:sp macro="" textlink="">
      <xdr:nvSpPr>
        <xdr:cNvPr id="30832" name="Line 26"/>
        <xdr:cNvSpPr>
          <a:spLocks noChangeShapeType="1"/>
        </xdr:cNvSpPr>
      </xdr:nvSpPr>
      <xdr:spPr bwMode="auto">
        <a:xfrm flipH="1">
          <a:off x="6629400" y="4572000"/>
          <a:ext cx="676275" cy="409575"/>
        </a:xfrm>
        <a:prstGeom prst="line">
          <a:avLst/>
        </a:prstGeom>
        <a:noFill/>
        <a:ln w="9525">
          <a:solidFill>
            <a:srgbClr val="000000"/>
          </a:solidFill>
          <a:round/>
          <a:headEnd/>
          <a:tailEnd type="triangle" w="med" len="med"/>
        </a:ln>
      </xdr:spPr>
    </xdr:sp>
    <xdr:clientData/>
  </xdr:twoCellAnchor>
  <xdr:twoCellAnchor>
    <xdr:from>
      <xdr:col>7</xdr:col>
      <xdr:colOff>9525</xdr:colOff>
      <xdr:row>24</xdr:row>
      <xdr:rowOff>152400</xdr:rowOff>
    </xdr:from>
    <xdr:to>
      <xdr:col>9</xdr:col>
      <xdr:colOff>685800</xdr:colOff>
      <xdr:row>27</xdr:row>
      <xdr:rowOff>314324</xdr:rowOff>
    </xdr:to>
    <xdr:sp macro="" textlink="">
      <xdr:nvSpPr>
        <xdr:cNvPr id="20" name="AutoShape 23"/>
        <xdr:cNvSpPr>
          <a:spLocks noChangeArrowheads="1"/>
        </xdr:cNvSpPr>
      </xdr:nvSpPr>
      <xdr:spPr bwMode="auto">
        <a:xfrm>
          <a:off x="7343775" y="6372225"/>
          <a:ext cx="2771775" cy="1104899"/>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7</xdr:col>
      <xdr:colOff>9525</xdr:colOff>
      <xdr:row>34</xdr:row>
      <xdr:rowOff>0</xdr:rowOff>
    </xdr:from>
    <xdr:to>
      <xdr:col>9</xdr:col>
      <xdr:colOff>685800</xdr:colOff>
      <xdr:row>37</xdr:row>
      <xdr:rowOff>161924</xdr:rowOff>
    </xdr:to>
    <xdr:sp macro="" textlink="">
      <xdr:nvSpPr>
        <xdr:cNvPr id="21" name="AutoShape 23"/>
        <xdr:cNvSpPr>
          <a:spLocks noChangeArrowheads="1"/>
        </xdr:cNvSpPr>
      </xdr:nvSpPr>
      <xdr:spPr bwMode="auto">
        <a:xfrm>
          <a:off x="7343775" y="9363075"/>
          <a:ext cx="2771775" cy="790574"/>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6</xdr:col>
      <xdr:colOff>333375</xdr:colOff>
      <xdr:row>24</xdr:row>
      <xdr:rowOff>285750</xdr:rowOff>
    </xdr:from>
    <xdr:to>
      <xdr:col>7</xdr:col>
      <xdr:colOff>0</xdr:colOff>
      <xdr:row>26</xdr:row>
      <xdr:rowOff>0</xdr:rowOff>
    </xdr:to>
    <xdr:sp macro="" textlink="">
      <xdr:nvSpPr>
        <xdr:cNvPr id="30836" name="Line 25"/>
        <xdr:cNvSpPr>
          <a:spLocks noChangeShapeType="1"/>
        </xdr:cNvSpPr>
      </xdr:nvSpPr>
      <xdr:spPr bwMode="auto">
        <a:xfrm flipH="1" flipV="1">
          <a:off x="6619875" y="6505575"/>
          <a:ext cx="714375" cy="342900"/>
        </a:xfrm>
        <a:prstGeom prst="line">
          <a:avLst/>
        </a:prstGeom>
        <a:noFill/>
        <a:ln w="9525">
          <a:solidFill>
            <a:srgbClr val="000000"/>
          </a:solidFill>
          <a:round/>
          <a:headEnd/>
          <a:tailEnd type="triangle" w="med" len="med"/>
        </a:ln>
      </xdr:spPr>
    </xdr:sp>
    <xdr:clientData/>
  </xdr:twoCellAnchor>
  <xdr:twoCellAnchor>
    <xdr:from>
      <xdr:col>6</xdr:col>
      <xdr:colOff>381000</xdr:colOff>
      <xdr:row>27</xdr:row>
      <xdr:rowOff>19050</xdr:rowOff>
    </xdr:from>
    <xdr:to>
      <xdr:col>7</xdr:col>
      <xdr:colOff>9525</xdr:colOff>
      <xdr:row>28</xdr:row>
      <xdr:rowOff>114300</xdr:rowOff>
    </xdr:to>
    <xdr:sp macro="" textlink="">
      <xdr:nvSpPr>
        <xdr:cNvPr id="30837" name="Line 26"/>
        <xdr:cNvSpPr>
          <a:spLocks noChangeShapeType="1"/>
        </xdr:cNvSpPr>
      </xdr:nvSpPr>
      <xdr:spPr bwMode="auto">
        <a:xfrm flipH="1">
          <a:off x="6667500" y="7181850"/>
          <a:ext cx="676275" cy="409575"/>
        </a:xfrm>
        <a:prstGeom prst="line">
          <a:avLst/>
        </a:prstGeom>
        <a:noFill/>
        <a:ln w="9525">
          <a:solidFill>
            <a:srgbClr val="000000"/>
          </a:solidFill>
          <a:round/>
          <a:headEnd/>
          <a:tailEnd type="triangle" w="med" len="med"/>
        </a:ln>
      </xdr:spPr>
    </xdr:sp>
    <xdr:clientData/>
  </xdr:twoCellAnchor>
  <xdr:twoCellAnchor>
    <xdr:from>
      <xdr:col>6</xdr:col>
      <xdr:colOff>314325</xdr:colOff>
      <xdr:row>33</xdr:row>
      <xdr:rowOff>285750</xdr:rowOff>
    </xdr:from>
    <xdr:to>
      <xdr:col>6</xdr:col>
      <xdr:colOff>1028700</xdr:colOff>
      <xdr:row>35</xdr:row>
      <xdr:rowOff>0</xdr:rowOff>
    </xdr:to>
    <xdr:sp macro="" textlink="">
      <xdr:nvSpPr>
        <xdr:cNvPr id="30838" name="Line 25"/>
        <xdr:cNvSpPr>
          <a:spLocks noChangeShapeType="1"/>
        </xdr:cNvSpPr>
      </xdr:nvSpPr>
      <xdr:spPr bwMode="auto">
        <a:xfrm flipH="1" flipV="1">
          <a:off x="6600825" y="9334500"/>
          <a:ext cx="714375" cy="342900"/>
        </a:xfrm>
        <a:prstGeom prst="line">
          <a:avLst/>
        </a:prstGeom>
        <a:noFill/>
        <a:ln w="9525">
          <a:solidFill>
            <a:srgbClr val="000000"/>
          </a:solidFill>
          <a:round/>
          <a:headEnd/>
          <a:tailEnd type="triangle" w="med" len="med"/>
        </a:ln>
      </xdr:spPr>
    </xdr:sp>
    <xdr:clientData/>
  </xdr:twoCellAnchor>
  <xdr:twoCellAnchor>
    <xdr:from>
      <xdr:col>6</xdr:col>
      <xdr:colOff>361950</xdr:colOff>
      <xdr:row>37</xdr:row>
      <xdr:rowOff>0</xdr:rowOff>
    </xdr:from>
    <xdr:to>
      <xdr:col>6</xdr:col>
      <xdr:colOff>1038225</xdr:colOff>
      <xdr:row>37</xdr:row>
      <xdr:rowOff>114300</xdr:rowOff>
    </xdr:to>
    <xdr:sp macro="" textlink="">
      <xdr:nvSpPr>
        <xdr:cNvPr id="30839" name="Line 26"/>
        <xdr:cNvSpPr>
          <a:spLocks noChangeShapeType="1"/>
        </xdr:cNvSpPr>
      </xdr:nvSpPr>
      <xdr:spPr bwMode="auto">
        <a:xfrm flipH="1">
          <a:off x="6648450" y="9991725"/>
          <a:ext cx="676275" cy="114300"/>
        </a:xfrm>
        <a:prstGeom prst="line">
          <a:avLst/>
        </a:prstGeom>
        <a:noFill/>
        <a:ln w="9525">
          <a:solidFill>
            <a:srgbClr val="000000"/>
          </a:solidFill>
          <a:round/>
          <a:headEnd/>
          <a:tailEnd type="triangle" w="med" len="med"/>
        </a:ln>
      </xdr:spPr>
    </xdr:sp>
    <xdr:clientData/>
  </xdr:twoCellAnchor>
  <xdr:twoCellAnchor editAs="oneCell">
    <xdr:from>
      <xdr:col>0</xdr:col>
      <xdr:colOff>186888</xdr:colOff>
      <xdr:row>0</xdr:row>
      <xdr:rowOff>68580</xdr:rowOff>
    </xdr:from>
    <xdr:to>
      <xdr:col>0</xdr:col>
      <xdr:colOff>1006268</xdr:colOff>
      <xdr:row>1</xdr:row>
      <xdr:rowOff>137160</xdr:rowOff>
    </xdr:to>
    <xdr:pic>
      <xdr:nvPicPr>
        <xdr:cNvPr id="102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86888" y="68580"/>
          <a:ext cx="834620" cy="9144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179268</xdr:colOff>
      <xdr:row>0</xdr:row>
      <xdr:rowOff>60960</xdr:rowOff>
    </xdr:from>
    <xdr:to>
      <xdr:col>0</xdr:col>
      <xdr:colOff>930426</xdr:colOff>
      <xdr:row>1</xdr:row>
      <xdr:rowOff>121920</xdr:rowOff>
    </xdr:to>
    <xdr:pic>
      <xdr:nvPicPr>
        <xdr:cNvPr id="204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9268" y="60960"/>
          <a:ext cx="751158" cy="82296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itle%20l%20EB\Allocations\State%20Fiscal%20Stabilization%20Fund\GSF.Preliminary.Allocations.to.LEAs.Workbook_J.Skinner_10-28-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Jeremy.Skinner\Desktop\FFY%202009%20Application%20Forms\Charter%20LEA%201003(a)%20Application%20and%20Budget_09-17-0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Jeremy.Skinner\Desktop\SFSF_Application.Review.Form_J.Skinner_12-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AL\Notice%20of%20New%20or%20Expanding%20Charters\New%20or%20Significantly%20Expanding%20Public%20Charter%20School%20Notification%20For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Jeremy.Skinner\Desktop\1003(a)_LEA.Application.FFY.2008.FFY.2009_J.Skinner_12-15-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L\School%20Improvement\FFY%202009%20Application%20Forms\1003(a)_LEA.Application.FFY.2008.and.FFY.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AL\Consolidated%20Application\FFY%202011%20Consolidated%20Apps\ConApp_FFY.2011.Phase.II.Application_05-19-1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AL\School%20Improvement\1003(a).Received.Applications\Applications\Capital%20City%20PCS\1003(a)_FFY2009.Application.CapitalCity.PCS_03-05-10_rev.03-17-10.xl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AL\Consolidated%20Application\FFY%202010%20Consolidated%20Apps\FFY.2010.Phase.II.Consolidated.Application_06-25-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Natalie.Mitchell\Local%20Settings\Temporary%20Internet%20Files\Content.Outlook\5TCNI2EJ\1003(a)_LEA%20Application%20FFY%202008%20and%20FFY%2020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valery.dragon\Local%20Settings\Temporary%20Internet%20Files\Content.Outlook\GUBBVAW4\ConApp_FFY.2012.Phase.I.Application_05-1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s Summary"/>
      <sheetName val="Process"/>
      <sheetName val="Enrollment Data"/>
      <sheetName val="N&amp;E Projections"/>
      <sheetName val="SpEd Data"/>
      <sheetName val="ELL Data"/>
      <sheetName val="Calculating ESF Per-Pupil"/>
      <sheetName val="ALL LEAs"/>
      <sheetName val="AppleTree"/>
      <sheetName val="ALTA"/>
      <sheetName val="Arts&amp;Tech"/>
      <sheetName val="Achievement"/>
      <sheetName val="BookerT"/>
      <sheetName val="Bridges"/>
      <sheetName val="CapitalCity"/>
      <sheetName val="CarlosRosario"/>
      <sheetName val="CenterCity"/>
      <sheetName val="CesarChavez"/>
      <sheetName val="ChildrensStudio"/>
      <sheetName val="CityCollegiate"/>
      <sheetName val="CommunityAcademy"/>
      <sheetName val="DCBilingual"/>
      <sheetName val="DCPrep"/>
      <sheetName val="ELHaynes"/>
      <sheetName val="Eagle"/>
      <sheetName val="EarlyChildhood"/>
      <sheetName val="ESF"/>
      <sheetName val="EWStokes"/>
      <sheetName val="Excel"/>
      <sheetName val="Friendship"/>
      <sheetName val="Hope"/>
      <sheetName val="Hospitality"/>
      <sheetName val="HowardRoad"/>
      <sheetName val="HowardU"/>
      <sheetName val="Hyde"/>
      <sheetName val="IDEA"/>
      <sheetName val="Ideal"/>
      <sheetName val="Imagine"/>
      <sheetName val="Kamit"/>
      <sheetName val="KIPP"/>
      <sheetName val="LAMB"/>
      <sheetName val="LAYCYouthBuild"/>
      <sheetName val="MaryMcCleod"/>
      <sheetName val="MayaAngelou"/>
      <sheetName val="Meridian"/>
      <sheetName val="Nia"/>
      <sheetName val="Options"/>
      <sheetName val="Paul"/>
      <sheetName val="Potomac"/>
      <sheetName val="Roots"/>
      <sheetName val="SAIL"/>
      <sheetName val="StColetta"/>
      <sheetName val="Septima"/>
      <sheetName val="SEED"/>
      <sheetName val="NextStep"/>
      <sheetName val="TheaBowman"/>
      <sheetName val="ThurgoodMarshall"/>
      <sheetName val="TreeofLife"/>
      <sheetName val="TwoRivers"/>
      <sheetName val="WashLatin"/>
      <sheetName val="WashMST"/>
      <sheetName val="WashYuYing"/>
      <sheetName val="WilliamDoar"/>
      <sheetName val="YoungAmerica"/>
      <sheetName val="D.C.P.S."/>
      <sheetName val="NationalCollegi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B6">
            <v>109</v>
          </cell>
        </row>
        <row r="7">
          <cell r="B7">
            <v>71</v>
          </cell>
        </row>
        <row r="8">
          <cell r="B8">
            <v>0</v>
          </cell>
        </row>
        <row r="9">
          <cell r="B9">
            <v>0</v>
          </cell>
        </row>
        <row r="10">
          <cell r="B10">
            <v>0</v>
          </cell>
        </row>
        <row r="11">
          <cell r="B11">
            <v>72</v>
          </cell>
        </row>
        <row r="12">
          <cell r="B12">
            <v>0</v>
          </cell>
        </row>
        <row r="13">
          <cell r="B13">
            <v>0</v>
          </cell>
        </row>
        <row r="14">
          <cell r="B14">
            <v>0</v>
          </cell>
        </row>
        <row r="15">
          <cell r="B15">
            <v>0</v>
          </cell>
        </row>
        <row r="16">
          <cell r="B16">
            <v>0</v>
          </cell>
        </row>
        <row r="17">
          <cell r="B17">
            <v>0</v>
          </cell>
        </row>
        <row r="18">
          <cell r="B18">
            <v>0</v>
          </cell>
        </row>
        <row r="19">
          <cell r="B19">
            <v>252</v>
          </cell>
          <cell r="C19">
            <v>32855.899669590515</v>
          </cell>
        </row>
        <row r="21">
          <cell r="B21">
            <v>4</v>
          </cell>
        </row>
        <row r="22">
          <cell r="B22">
            <v>1</v>
          </cell>
        </row>
        <row r="23">
          <cell r="B23">
            <v>0</v>
          </cell>
        </row>
        <row r="24">
          <cell r="B24">
            <v>1</v>
          </cell>
        </row>
        <row r="25">
          <cell r="B25">
            <v>6</v>
          </cell>
          <cell r="C25">
            <v>554.30303734365236</v>
          </cell>
        </row>
        <row r="27">
          <cell r="B27">
            <v>44</v>
          </cell>
          <cell r="C27">
            <v>1863.2034868694197</v>
          </cell>
        </row>
        <row r="28">
          <cell r="C28">
            <v>35273.410000000003</v>
          </cell>
        </row>
      </sheetData>
      <sheetData sheetId="9" refreshError="1">
        <row r="6">
          <cell r="B6">
            <v>0</v>
          </cell>
        </row>
        <row r="7">
          <cell r="B7">
            <v>8</v>
          </cell>
        </row>
        <row r="8">
          <cell r="B8">
            <v>12</v>
          </cell>
        </row>
        <row r="9">
          <cell r="B9">
            <v>33</v>
          </cell>
        </row>
        <row r="10">
          <cell r="B10">
            <v>17</v>
          </cell>
        </row>
        <row r="11">
          <cell r="B11">
            <v>57</v>
          </cell>
        </row>
        <row r="12">
          <cell r="B12">
            <v>8</v>
          </cell>
        </row>
        <row r="13">
          <cell r="B13">
            <v>0</v>
          </cell>
        </row>
        <row r="14">
          <cell r="B14">
            <v>0</v>
          </cell>
        </row>
        <row r="15">
          <cell r="B15">
            <v>0</v>
          </cell>
        </row>
        <row r="16">
          <cell r="B16">
            <v>0</v>
          </cell>
        </row>
        <row r="17">
          <cell r="B17">
            <v>0</v>
          </cell>
        </row>
        <row r="18">
          <cell r="B18">
            <v>0</v>
          </cell>
        </row>
        <row r="19">
          <cell r="B19">
            <v>135</v>
          </cell>
          <cell r="C19">
            <v>14952.207982127093</v>
          </cell>
        </row>
        <row r="21">
          <cell r="B21">
            <v>5</v>
          </cell>
        </row>
        <row r="22">
          <cell r="B22">
            <v>2</v>
          </cell>
        </row>
        <row r="23">
          <cell r="B23">
            <v>0</v>
          </cell>
        </row>
        <row r="24">
          <cell r="B24">
            <v>0</v>
          </cell>
        </row>
        <row r="25">
          <cell r="B25">
            <v>7</v>
          </cell>
          <cell r="C25">
            <v>442.51082813148719</v>
          </cell>
        </row>
        <row r="27">
          <cell r="C27">
            <v>0</v>
          </cell>
        </row>
        <row r="28">
          <cell r="C28">
            <v>15394.72</v>
          </cell>
        </row>
      </sheetData>
      <sheetData sheetId="10" refreshError="1">
        <row r="6">
          <cell r="B6">
            <v>0</v>
          </cell>
        </row>
        <row r="7">
          <cell r="B7">
            <v>61</v>
          </cell>
        </row>
        <row r="8">
          <cell r="B8">
            <v>79</v>
          </cell>
        </row>
        <row r="9">
          <cell r="B9">
            <v>242</v>
          </cell>
        </row>
        <row r="10">
          <cell r="B10">
            <v>152</v>
          </cell>
        </row>
        <row r="11">
          <cell r="B11">
            <v>0</v>
          </cell>
        </row>
        <row r="12">
          <cell r="B12">
            <v>75</v>
          </cell>
        </row>
        <row r="13">
          <cell r="B13">
            <v>0</v>
          </cell>
        </row>
        <row r="14">
          <cell r="B14">
            <v>0</v>
          </cell>
        </row>
        <row r="15">
          <cell r="B15">
            <v>0</v>
          </cell>
        </row>
        <row r="16">
          <cell r="B16">
            <v>0</v>
          </cell>
        </row>
        <row r="17">
          <cell r="B17">
            <v>0</v>
          </cell>
        </row>
        <row r="18">
          <cell r="B18">
            <v>0</v>
          </cell>
        </row>
        <row r="19">
          <cell r="B19">
            <v>609</v>
          </cell>
          <cell r="C19">
            <v>69155.549874855031</v>
          </cell>
        </row>
        <row r="21">
          <cell r="B21">
            <v>8</v>
          </cell>
        </row>
        <row r="22">
          <cell r="B22">
            <v>8</v>
          </cell>
        </row>
        <row r="23">
          <cell r="B23">
            <v>3</v>
          </cell>
        </row>
        <row r="24">
          <cell r="B24">
            <v>0</v>
          </cell>
        </row>
        <row r="25">
          <cell r="B25">
            <v>19</v>
          </cell>
          <cell r="C25">
            <v>1541.37743004652</v>
          </cell>
        </row>
        <row r="27">
          <cell r="B27">
            <v>2</v>
          </cell>
          <cell r="C27">
            <v>84.691067584973624</v>
          </cell>
        </row>
        <row r="28">
          <cell r="C28">
            <v>70781.62</v>
          </cell>
        </row>
      </sheetData>
      <sheetData sheetId="11" refreshError="1">
        <row r="6">
          <cell r="B6">
            <v>0</v>
          </cell>
        </row>
        <row r="7">
          <cell r="B7">
            <v>0</v>
          </cell>
        </row>
        <row r="8">
          <cell r="B8">
            <v>0</v>
          </cell>
        </row>
        <row r="9">
          <cell r="B9">
            <v>0</v>
          </cell>
        </row>
        <row r="10">
          <cell r="B10">
            <v>65</v>
          </cell>
        </row>
        <row r="11">
          <cell r="B11">
            <v>0</v>
          </cell>
        </row>
        <row r="12">
          <cell r="B12">
            <v>35</v>
          </cell>
        </row>
        <row r="13">
          <cell r="B13">
            <v>0</v>
          </cell>
        </row>
        <row r="14">
          <cell r="B14">
            <v>0</v>
          </cell>
        </row>
        <row r="15">
          <cell r="B15">
            <v>0</v>
          </cell>
        </row>
        <row r="16">
          <cell r="B16">
            <v>0</v>
          </cell>
        </row>
        <row r="17">
          <cell r="B17">
            <v>0</v>
          </cell>
        </row>
        <row r="18">
          <cell r="B18">
            <v>0</v>
          </cell>
        </row>
        <row r="19">
          <cell r="B19">
            <v>100</v>
          </cell>
          <cell r="C19">
            <v>10697.540474326981</v>
          </cell>
        </row>
        <row r="21">
          <cell r="B21">
            <v>1</v>
          </cell>
        </row>
        <row r="22">
          <cell r="B22">
            <v>3</v>
          </cell>
        </row>
        <row r="23">
          <cell r="B23">
            <v>1</v>
          </cell>
        </row>
        <row r="24">
          <cell r="B24">
            <v>0</v>
          </cell>
        </row>
        <row r="25">
          <cell r="B25">
            <v>5</v>
          </cell>
          <cell r="C25">
            <v>449.92129654517242</v>
          </cell>
        </row>
        <row r="27">
          <cell r="C27">
            <v>0</v>
          </cell>
        </row>
        <row r="28">
          <cell r="C28">
            <v>11147.46</v>
          </cell>
        </row>
      </sheetData>
      <sheetData sheetId="12" refreshError="1">
        <row r="6">
          <cell r="B6">
            <v>0</v>
          </cell>
        </row>
        <row r="7">
          <cell r="B7">
            <v>0</v>
          </cell>
        </row>
        <row r="8">
          <cell r="B8">
            <v>0</v>
          </cell>
        </row>
        <row r="9">
          <cell r="B9">
            <v>0</v>
          </cell>
        </row>
        <row r="10">
          <cell r="B10">
            <v>0</v>
          </cell>
        </row>
        <row r="11">
          <cell r="B11">
            <v>0</v>
          </cell>
        </row>
        <row r="12">
          <cell r="B12">
            <v>0</v>
          </cell>
        </row>
        <row r="13">
          <cell r="B13">
            <v>0</v>
          </cell>
        </row>
        <row r="14">
          <cell r="B14">
            <v>234</v>
          </cell>
        </row>
        <row r="15">
          <cell r="B15">
            <v>0</v>
          </cell>
        </row>
        <row r="16">
          <cell r="B16">
            <v>0</v>
          </cell>
        </row>
        <row r="17">
          <cell r="B17">
            <v>0</v>
          </cell>
        </row>
        <row r="18">
          <cell r="B18">
            <v>66</v>
          </cell>
        </row>
        <row r="19">
          <cell r="B19">
            <v>300</v>
          </cell>
          <cell r="C19">
            <v>33975.93903840179</v>
          </cell>
        </row>
        <row r="21">
          <cell r="B21">
            <v>11</v>
          </cell>
        </row>
        <row r="22">
          <cell r="B22">
            <v>16</v>
          </cell>
        </row>
        <row r="23">
          <cell r="B23">
            <v>3</v>
          </cell>
        </row>
        <row r="24">
          <cell r="B24">
            <v>6</v>
          </cell>
        </row>
        <row r="25">
          <cell r="B25">
            <v>36</v>
          </cell>
          <cell r="C25">
            <v>3878.427440053867</v>
          </cell>
        </row>
        <row r="27">
          <cell r="C27">
            <v>0</v>
          </cell>
        </row>
        <row r="28">
          <cell r="C28">
            <v>37854.370000000003</v>
          </cell>
        </row>
      </sheetData>
      <sheetData sheetId="13" refreshError="1">
        <row r="6">
          <cell r="B6">
            <v>40</v>
          </cell>
        </row>
        <row r="7">
          <cell r="B7">
            <v>36</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76</v>
          </cell>
          <cell r="C19">
            <v>10628.72898191419</v>
          </cell>
        </row>
        <row r="21">
          <cell r="B21">
            <v>12</v>
          </cell>
        </row>
        <row r="22">
          <cell r="B22">
            <v>6</v>
          </cell>
        </row>
        <row r="23">
          <cell r="B23">
            <v>1</v>
          </cell>
        </row>
        <row r="24">
          <cell r="B24">
            <v>6</v>
          </cell>
        </row>
        <row r="25">
          <cell r="B25">
            <v>25</v>
          </cell>
          <cell r="C25">
            <v>2809.202711793575</v>
          </cell>
        </row>
        <row r="27">
          <cell r="B27">
            <v>32</v>
          </cell>
          <cell r="C27">
            <v>1355.057081359578</v>
          </cell>
        </row>
        <row r="28">
          <cell r="C28">
            <v>14792.99</v>
          </cell>
        </row>
      </sheetData>
      <sheetData sheetId="14" refreshError="1">
        <row r="6">
          <cell r="B6">
            <v>0</v>
          </cell>
        </row>
        <row r="7">
          <cell r="B7">
            <v>20</v>
          </cell>
        </row>
        <row r="8">
          <cell r="B8">
            <v>24</v>
          </cell>
        </row>
        <row r="9">
          <cell r="B9">
            <v>75</v>
          </cell>
        </row>
        <row r="10">
          <cell r="B10">
            <v>50</v>
          </cell>
        </row>
        <row r="11">
          <cell r="B11">
            <v>52</v>
          </cell>
        </row>
        <row r="12">
          <cell r="B12">
            <v>151</v>
          </cell>
        </row>
        <row r="13">
          <cell r="B13">
            <v>0</v>
          </cell>
        </row>
        <row r="14">
          <cell r="B14">
            <v>52</v>
          </cell>
        </row>
        <row r="15">
          <cell r="B15">
            <v>0</v>
          </cell>
        </row>
        <row r="16">
          <cell r="B16">
            <v>0</v>
          </cell>
        </row>
        <row r="17">
          <cell r="B17">
            <v>0</v>
          </cell>
        </row>
        <row r="18">
          <cell r="B18">
            <v>0</v>
          </cell>
        </row>
        <row r="19">
          <cell r="B19">
            <v>424</v>
          </cell>
          <cell r="C19">
            <v>47644.018708271724</v>
          </cell>
        </row>
        <row r="21">
          <cell r="B21">
            <v>9</v>
          </cell>
        </row>
        <row r="22">
          <cell r="B22">
            <v>13</v>
          </cell>
        </row>
        <row r="23">
          <cell r="B23">
            <v>38</v>
          </cell>
        </row>
        <row r="24">
          <cell r="B24">
            <v>6</v>
          </cell>
        </row>
        <row r="25">
          <cell r="B25">
            <v>66</v>
          </cell>
          <cell r="C25">
            <v>8556.550285778847</v>
          </cell>
        </row>
        <row r="27">
          <cell r="B27">
            <v>78</v>
          </cell>
          <cell r="C27">
            <v>3302.9516358139713</v>
          </cell>
        </row>
        <row r="28">
          <cell r="C28">
            <v>59503.519999999997</v>
          </cell>
        </row>
      </sheetData>
      <sheetData sheetId="15"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1481</v>
          </cell>
        </row>
        <row r="19">
          <cell r="B19">
            <v>1481</v>
          </cell>
          <cell r="C19">
            <v>117588.25415001182</v>
          </cell>
        </row>
        <row r="25">
          <cell r="B25">
            <v>0</v>
          </cell>
          <cell r="C25">
            <v>0</v>
          </cell>
        </row>
        <row r="27">
          <cell r="B27">
            <v>149</v>
          </cell>
          <cell r="C27">
            <v>6309.4845350805354</v>
          </cell>
        </row>
        <row r="28">
          <cell r="C28">
            <v>123897.74</v>
          </cell>
        </row>
      </sheetData>
      <sheetData sheetId="16" refreshError="1">
        <row r="6">
          <cell r="B6">
            <v>0</v>
          </cell>
        </row>
        <row r="7">
          <cell r="B7">
            <v>132</v>
          </cell>
        </row>
        <row r="8">
          <cell r="B8">
            <v>147</v>
          </cell>
        </row>
        <row r="9">
          <cell r="B9">
            <v>439</v>
          </cell>
        </row>
        <row r="10">
          <cell r="B10">
            <v>311</v>
          </cell>
        </row>
        <row r="11">
          <cell r="B11">
            <v>298</v>
          </cell>
        </row>
        <row r="12">
          <cell r="B12">
            <v>425</v>
          </cell>
        </row>
        <row r="13">
          <cell r="B13">
            <v>0</v>
          </cell>
        </row>
        <row r="14">
          <cell r="B14">
            <v>0</v>
          </cell>
        </row>
        <row r="15">
          <cell r="B15">
            <v>0</v>
          </cell>
        </row>
        <row r="16">
          <cell r="B16">
            <v>0</v>
          </cell>
        </row>
        <row r="17">
          <cell r="B17">
            <v>0</v>
          </cell>
        </row>
        <row r="18">
          <cell r="B18">
            <v>0</v>
          </cell>
        </row>
        <row r="19">
          <cell r="B19">
            <v>1752</v>
          </cell>
          <cell r="C19">
            <v>195684.00484680562</v>
          </cell>
        </row>
        <row r="21">
          <cell r="B21">
            <v>23</v>
          </cell>
        </row>
        <row r="22">
          <cell r="B22">
            <v>42</v>
          </cell>
        </row>
        <row r="23">
          <cell r="B23">
            <v>8</v>
          </cell>
        </row>
        <row r="24">
          <cell r="B24">
            <v>3</v>
          </cell>
        </row>
        <row r="25">
          <cell r="B25">
            <v>76</v>
          </cell>
          <cell r="C25">
            <v>6681.913504785457</v>
          </cell>
        </row>
        <row r="27">
          <cell r="B27">
            <v>147</v>
          </cell>
          <cell r="C27">
            <v>6224.7934674955613</v>
          </cell>
        </row>
        <row r="28">
          <cell r="C28">
            <v>208590.71</v>
          </cell>
        </row>
      </sheetData>
      <sheetData sheetId="17" refreshError="1">
        <row r="6">
          <cell r="B6">
            <v>0</v>
          </cell>
        </row>
        <row r="7">
          <cell r="B7">
            <v>0</v>
          </cell>
        </row>
        <row r="8">
          <cell r="B8">
            <v>0</v>
          </cell>
        </row>
        <row r="9">
          <cell r="B9">
            <v>0</v>
          </cell>
        </row>
        <row r="10">
          <cell r="B10">
            <v>0</v>
          </cell>
        </row>
        <row r="11">
          <cell r="B11">
            <v>0</v>
          </cell>
        </row>
        <row r="12">
          <cell r="B12">
            <v>539</v>
          </cell>
        </row>
        <row r="13">
          <cell r="B13">
            <v>0</v>
          </cell>
        </row>
        <row r="14">
          <cell r="B14">
            <v>770</v>
          </cell>
        </row>
        <row r="15">
          <cell r="B15">
            <v>0</v>
          </cell>
        </row>
        <row r="16">
          <cell r="B16">
            <v>0</v>
          </cell>
        </row>
        <row r="17">
          <cell r="B17">
            <v>0</v>
          </cell>
        </row>
        <row r="18">
          <cell r="B18">
            <v>0</v>
          </cell>
        </row>
        <row r="19">
          <cell r="B19">
            <v>1309</v>
          </cell>
          <cell r="C19">
            <v>153330.00194756032</v>
          </cell>
        </row>
        <row r="21">
          <cell r="B21">
            <v>45</v>
          </cell>
        </row>
        <row r="22">
          <cell r="B22">
            <v>85</v>
          </cell>
        </row>
        <row r="23">
          <cell r="B23">
            <v>25</v>
          </cell>
        </row>
        <row r="24">
          <cell r="B24">
            <v>16</v>
          </cell>
        </row>
        <row r="25">
          <cell r="B25">
            <v>171</v>
          </cell>
          <cell r="C25">
            <v>17192.921902756534</v>
          </cell>
        </row>
        <row r="27">
          <cell r="B27">
            <v>90</v>
          </cell>
          <cell r="C27">
            <v>3811.098041323813</v>
          </cell>
        </row>
        <row r="28">
          <cell r="C28">
            <v>174334.02</v>
          </cell>
        </row>
      </sheetData>
      <sheetData sheetId="18" refreshError="1">
        <row r="6">
          <cell r="B6">
            <v>16</v>
          </cell>
        </row>
        <row r="7">
          <cell r="B7">
            <v>4</v>
          </cell>
        </row>
        <row r="8">
          <cell r="B8">
            <v>11</v>
          </cell>
        </row>
        <row r="9">
          <cell r="B9">
            <v>28</v>
          </cell>
        </row>
        <row r="10">
          <cell r="B10">
            <v>15</v>
          </cell>
        </row>
        <row r="11">
          <cell r="B11">
            <v>20</v>
          </cell>
        </row>
        <row r="12">
          <cell r="B12">
            <v>2</v>
          </cell>
        </row>
        <row r="13">
          <cell r="B13">
            <v>0</v>
          </cell>
        </row>
        <row r="14">
          <cell r="B14">
            <v>0</v>
          </cell>
        </row>
        <row r="15">
          <cell r="B15">
            <v>0</v>
          </cell>
        </row>
        <row r="16">
          <cell r="B16">
            <v>0</v>
          </cell>
        </row>
        <row r="17">
          <cell r="B17">
            <v>0</v>
          </cell>
        </row>
        <row r="18">
          <cell r="B18">
            <v>0</v>
          </cell>
        </row>
        <row r="19">
          <cell r="B19">
            <v>96</v>
          </cell>
          <cell r="C19">
            <v>11221.566455009006</v>
          </cell>
        </row>
        <row r="21">
          <cell r="B21">
            <v>3</v>
          </cell>
        </row>
        <row r="22">
          <cell r="B22">
            <v>0</v>
          </cell>
        </row>
        <row r="23">
          <cell r="B23">
            <v>1</v>
          </cell>
        </row>
        <row r="24">
          <cell r="B24">
            <v>0</v>
          </cell>
        </row>
        <row r="25">
          <cell r="B25">
            <v>4</v>
          </cell>
          <cell r="C25">
            <v>309.12239668515372</v>
          </cell>
        </row>
        <row r="27">
          <cell r="B27">
            <v>6</v>
          </cell>
          <cell r="C27">
            <v>254.07320275492089</v>
          </cell>
        </row>
        <row r="28">
          <cell r="C28">
            <v>11784.76</v>
          </cell>
        </row>
      </sheetData>
      <sheetData sheetId="19" refreshError="1">
        <row r="6">
          <cell r="B6">
            <v>0</v>
          </cell>
        </row>
        <row r="7">
          <cell r="B7">
            <v>0</v>
          </cell>
        </row>
        <row r="8">
          <cell r="B8">
            <v>0</v>
          </cell>
        </row>
        <row r="9">
          <cell r="B9">
            <v>0</v>
          </cell>
        </row>
        <row r="10">
          <cell r="B10">
            <v>0</v>
          </cell>
        </row>
        <row r="11">
          <cell r="B11">
            <v>46</v>
          </cell>
        </row>
        <row r="12">
          <cell r="B12">
            <v>99</v>
          </cell>
        </row>
        <row r="13">
          <cell r="B13">
            <v>0</v>
          </cell>
        </row>
        <row r="14">
          <cell r="B14">
            <v>0</v>
          </cell>
        </row>
        <row r="15">
          <cell r="B15">
            <v>0</v>
          </cell>
        </row>
        <row r="16">
          <cell r="B16">
            <v>0</v>
          </cell>
        </row>
        <row r="17">
          <cell r="B17">
            <v>0</v>
          </cell>
        </row>
        <row r="18">
          <cell r="B18">
            <v>0</v>
          </cell>
        </row>
        <row r="19">
          <cell r="B19">
            <v>145</v>
          </cell>
          <cell r="C19">
            <v>15664.671588185687</v>
          </cell>
        </row>
        <row r="21">
          <cell r="B21">
            <v>5</v>
          </cell>
        </row>
        <row r="22">
          <cell r="B22">
            <v>10</v>
          </cell>
        </row>
        <row r="23">
          <cell r="B23">
            <v>2</v>
          </cell>
        </row>
        <row r="24">
          <cell r="B24">
            <v>0</v>
          </cell>
        </row>
        <row r="25">
          <cell r="B25">
            <v>17</v>
          </cell>
          <cell r="C25">
            <v>1399.5198918416891</v>
          </cell>
        </row>
        <row r="27">
          <cell r="C27">
            <v>0</v>
          </cell>
        </row>
        <row r="28">
          <cell r="C28">
            <v>17064.189999999999</v>
          </cell>
        </row>
      </sheetData>
      <sheetData sheetId="20" refreshError="1">
        <row r="6">
          <cell r="B6">
            <v>211</v>
          </cell>
        </row>
        <row r="7">
          <cell r="B7">
            <v>200</v>
          </cell>
        </row>
        <row r="8">
          <cell r="B8">
            <v>188</v>
          </cell>
        </row>
        <row r="9">
          <cell r="B9">
            <v>428</v>
          </cell>
        </row>
        <row r="10">
          <cell r="B10">
            <v>197</v>
          </cell>
        </row>
        <row r="11">
          <cell r="B11">
            <v>157</v>
          </cell>
        </row>
        <row r="12">
          <cell r="B12">
            <v>169</v>
          </cell>
        </row>
        <row r="13">
          <cell r="B13">
            <v>0</v>
          </cell>
        </row>
        <row r="14">
          <cell r="B14">
            <v>0</v>
          </cell>
        </row>
        <row r="15">
          <cell r="B15">
            <v>0</v>
          </cell>
        </row>
        <row r="16">
          <cell r="B16">
            <v>0</v>
          </cell>
        </row>
        <row r="17">
          <cell r="B17">
            <v>0</v>
          </cell>
        </row>
        <row r="18">
          <cell r="B18">
            <v>0</v>
          </cell>
        </row>
        <row r="19">
          <cell r="B19">
            <v>1550</v>
          </cell>
          <cell r="C19">
            <v>184542.89490600233</v>
          </cell>
        </row>
        <row r="21">
          <cell r="B21">
            <v>19</v>
          </cell>
        </row>
        <row r="22">
          <cell r="B22">
            <v>42</v>
          </cell>
        </row>
        <row r="23">
          <cell r="B23">
            <v>28</v>
          </cell>
        </row>
        <row r="24">
          <cell r="B24">
            <v>0</v>
          </cell>
        </row>
        <row r="25">
          <cell r="B25">
            <v>89</v>
          </cell>
          <cell r="C25">
            <v>8589.7915298059488</v>
          </cell>
        </row>
        <row r="27">
          <cell r="B27">
            <v>214</v>
          </cell>
          <cell r="C27">
            <v>9061.9442315921769</v>
          </cell>
        </row>
        <row r="28">
          <cell r="C28">
            <v>202194.63</v>
          </cell>
        </row>
      </sheetData>
      <sheetData sheetId="21" refreshError="1">
        <row r="6">
          <cell r="B6">
            <v>20</v>
          </cell>
        </row>
        <row r="7">
          <cell r="B7">
            <v>69</v>
          </cell>
        </row>
        <row r="8">
          <cell r="B8">
            <v>46</v>
          </cell>
        </row>
        <row r="9">
          <cell r="B9">
            <v>129</v>
          </cell>
        </row>
        <row r="10">
          <cell r="B10">
            <v>21</v>
          </cell>
        </row>
        <row r="11">
          <cell r="B11">
            <v>76</v>
          </cell>
        </row>
        <row r="12">
          <cell r="B12">
            <v>0</v>
          </cell>
        </row>
        <row r="13">
          <cell r="B13">
            <v>0</v>
          </cell>
        </row>
        <row r="14">
          <cell r="B14">
            <v>0</v>
          </cell>
        </row>
        <row r="15">
          <cell r="B15">
            <v>0</v>
          </cell>
        </row>
        <row r="16">
          <cell r="B16">
            <v>0</v>
          </cell>
        </row>
        <row r="17">
          <cell r="B17">
            <v>0</v>
          </cell>
        </row>
        <row r="18">
          <cell r="B18">
            <v>0</v>
          </cell>
        </row>
        <row r="19">
          <cell r="B19">
            <v>361</v>
          </cell>
          <cell r="C19">
            <v>42589.02061179361</v>
          </cell>
        </row>
        <row r="21">
          <cell r="B21">
            <v>11</v>
          </cell>
        </row>
        <row r="22">
          <cell r="B22">
            <v>6</v>
          </cell>
        </row>
        <row r="23">
          <cell r="B23">
            <v>4</v>
          </cell>
        </row>
        <row r="24">
          <cell r="B24">
            <v>3</v>
          </cell>
        </row>
        <row r="25">
          <cell r="B25">
            <v>24</v>
          </cell>
          <cell r="C25">
            <v>2434.6564653990295</v>
          </cell>
        </row>
        <row r="27">
          <cell r="B27">
            <v>204</v>
          </cell>
          <cell r="C27">
            <v>8638.4888936673087</v>
          </cell>
        </row>
        <row r="28">
          <cell r="C28">
            <v>53662.17</v>
          </cell>
        </row>
      </sheetData>
      <sheetData sheetId="22" refreshError="1">
        <row r="6">
          <cell r="B6">
            <v>145</v>
          </cell>
        </row>
        <row r="7">
          <cell r="B7">
            <v>97</v>
          </cell>
        </row>
        <row r="8">
          <cell r="B8">
            <v>60</v>
          </cell>
        </row>
        <row r="9">
          <cell r="B9">
            <v>181</v>
          </cell>
        </row>
        <row r="10">
          <cell r="B10">
            <v>137</v>
          </cell>
        </row>
        <row r="11">
          <cell r="B11">
            <v>112</v>
          </cell>
        </row>
        <row r="12">
          <cell r="B12">
            <v>118</v>
          </cell>
        </row>
        <row r="13">
          <cell r="B13">
            <v>0</v>
          </cell>
        </row>
        <row r="14">
          <cell r="B14">
            <v>0</v>
          </cell>
        </row>
        <row r="15">
          <cell r="B15">
            <v>0</v>
          </cell>
        </row>
        <row r="16">
          <cell r="B16">
            <v>0</v>
          </cell>
        </row>
        <row r="17">
          <cell r="B17">
            <v>0</v>
          </cell>
        </row>
        <row r="18">
          <cell r="B18">
            <v>0</v>
          </cell>
        </row>
        <row r="19">
          <cell r="B19">
            <v>850</v>
          </cell>
          <cell r="C19">
            <v>100564.29092708731</v>
          </cell>
        </row>
        <row r="21">
          <cell r="B21">
            <v>11</v>
          </cell>
        </row>
        <row r="22">
          <cell r="B22">
            <v>24</v>
          </cell>
        </row>
        <row r="23">
          <cell r="B23">
            <v>12</v>
          </cell>
        </row>
        <row r="24">
          <cell r="B24">
            <v>0</v>
          </cell>
        </row>
        <row r="25">
          <cell r="B25">
            <v>47</v>
          </cell>
          <cell r="C25">
            <v>4340.4172137298983</v>
          </cell>
        </row>
        <row r="27">
          <cell r="B27">
            <v>13</v>
          </cell>
          <cell r="C27">
            <v>550.49193930232855</v>
          </cell>
        </row>
        <row r="28">
          <cell r="C28">
            <v>105455.2</v>
          </cell>
        </row>
      </sheetData>
      <sheetData sheetId="23" refreshError="1">
        <row r="6">
          <cell r="B6">
            <v>0</v>
          </cell>
        </row>
        <row r="7">
          <cell r="B7">
            <v>41</v>
          </cell>
        </row>
        <row r="8">
          <cell r="B8">
            <v>47</v>
          </cell>
        </row>
        <row r="9">
          <cell r="B9">
            <v>144</v>
          </cell>
        </row>
        <row r="10">
          <cell r="B10">
            <v>96</v>
          </cell>
        </row>
        <row r="11">
          <cell r="B11">
            <v>55</v>
          </cell>
        </row>
        <row r="12">
          <cell r="B12">
            <v>49</v>
          </cell>
        </row>
        <row r="13">
          <cell r="B13">
            <v>0</v>
          </cell>
        </row>
        <row r="14">
          <cell r="B14">
            <v>0</v>
          </cell>
        </row>
        <row r="15">
          <cell r="B15">
            <v>0</v>
          </cell>
        </row>
        <row r="16">
          <cell r="B16">
            <v>0</v>
          </cell>
        </row>
        <row r="17">
          <cell r="B17">
            <v>0</v>
          </cell>
        </row>
        <row r="18">
          <cell r="B18">
            <v>0</v>
          </cell>
        </row>
        <row r="19">
          <cell r="B19">
            <v>432</v>
          </cell>
          <cell r="C19">
            <v>48683.601562877273</v>
          </cell>
        </row>
        <row r="21">
          <cell r="B21">
            <v>23</v>
          </cell>
        </row>
        <row r="22">
          <cell r="B22">
            <v>19</v>
          </cell>
        </row>
        <row r="23">
          <cell r="B23">
            <v>3</v>
          </cell>
        </row>
        <row r="24">
          <cell r="B24">
            <v>2</v>
          </cell>
        </row>
        <row r="25">
          <cell r="B25">
            <v>47</v>
          </cell>
          <cell r="C25">
            <v>3788.019725406908</v>
          </cell>
        </row>
        <row r="27">
          <cell r="B27">
            <v>75</v>
          </cell>
          <cell r="C27">
            <v>3175.9150344365107</v>
          </cell>
        </row>
        <row r="28">
          <cell r="C28">
            <v>55647.54</v>
          </cell>
        </row>
      </sheetData>
      <sheetData sheetId="24" refreshError="1">
        <row r="6">
          <cell r="B6">
            <v>118</v>
          </cell>
        </row>
        <row r="7">
          <cell r="B7">
            <v>128</v>
          </cell>
        </row>
        <row r="8">
          <cell r="B8">
            <v>80</v>
          </cell>
        </row>
        <row r="9">
          <cell r="B9">
            <v>0</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360</v>
          </cell>
          <cell r="C19">
            <v>48964.140724252509</v>
          </cell>
        </row>
        <row r="21">
          <cell r="B21">
            <v>11</v>
          </cell>
        </row>
        <row r="22">
          <cell r="B22">
            <v>9</v>
          </cell>
        </row>
        <row r="23">
          <cell r="B23">
            <v>0</v>
          </cell>
        </row>
        <row r="24">
          <cell r="B24">
            <v>9</v>
          </cell>
        </row>
        <row r="25">
          <cell r="B25">
            <v>29</v>
          </cell>
          <cell r="C25">
            <v>3612.4974878370499</v>
          </cell>
        </row>
        <row r="27">
          <cell r="C27">
            <v>0</v>
          </cell>
        </row>
        <row r="28">
          <cell r="C28">
            <v>52576.639999999999</v>
          </cell>
        </row>
      </sheetData>
      <sheetData sheetId="25" refreshError="1">
        <row r="6">
          <cell r="B6">
            <v>32</v>
          </cell>
        </row>
        <row r="7">
          <cell r="B7">
            <v>44</v>
          </cell>
        </row>
        <row r="8">
          <cell r="B8">
            <v>39</v>
          </cell>
        </row>
        <row r="9">
          <cell r="B9">
            <v>71</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220</v>
          </cell>
          <cell r="C19">
            <v>27077.85158360569</v>
          </cell>
        </row>
        <row r="21">
          <cell r="B21">
            <v>5</v>
          </cell>
        </row>
        <row r="22">
          <cell r="B22">
            <v>1</v>
          </cell>
        </row>
        <row r="23">
          <cell r="B23">
            <v>0</v>
          </cell>
        </row>
        <row r="24">
          <cell r="B24">
            <v>1</v>
          </cell>
        </row>
        <row r="25">
          <cell r="B25">
            <v>7</v>
          </cell>
          <cell r="C25">
            <v>609.3522312738852</v>
          </cell>
        </row>
        <row r="27">
          <cell r="C27">
            <v>0</v>
          </cell>
        </row>
        <row r="28">
          <cell r="C28">
            <v>27687.200000000001</v>
          </cell>
        </row>
      </sheetData>
      <sheetData sheetId="26" refreshError="1">
        <row r="6">
          <cell r="B6">
            <v>19</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168</v>
          </cell>
        </row>
        <row r="19">
          <cell r="B19">
            <v>187</v>
          </cell>
          <cell r="C19">
            <v>16034.136370525133</v>
          </cell>
        </row>
        <row r="25">
          <cell r="B25">
            <v>0</v>
          </cell>
          <cell r="C25">
            <v>0</v>
          </cell>
        </row>
        <row r="27">
          <cell r="B27">
            <v>24</v>
          </cell>
          <cell r="C27">
            <v>1016.2928110196835</v>
          </cell>
        </row>
        <row r="28">
          <cell r="C28">
            <v>17050.43</v>
          </cell>
        </row>
      </sheetData>
      <sheetData sheetId="27" refreshError="1">
        <row r="6">
          <cell r="B6">
            <v>0</v>
          </cell>
        </row>
        <row r="7">
          <cell r="B7">
            <v>44</v>
          </cell>
        </row>
        <row r="8">
          <cell r="B8">
            <v>38</v>
          </cell>
        </row>
        <row r="9">
          <cell r="B9">
            <v>130</v>
          </cell>
        </row>
        <row r="10">
          <cell r="B10">
            <v>82</v>
          </cell>
        </row>
        <row r="11">
          <cell r="B11">
            <v>0</v>
          </cell>
        </row>
        <row r="12">
          <cell r="B12">
            <v>20</v>
          </cell>
        </row>
        <row r="13">
          <cell r="B13">
            <v>0</v>
          </cell>
        </row>
        <row r="14">
          <cell r="B14">
            <v>0</v>
          </cell>
        </row>
        <row r="15">
          <cell r="B15">
            <v>0</v>
          </cell>
        </row>
        <row r="16">
          <cell r="B16">
            <v>0</v>
          </cell>
        </row>
        <row r="17">
          <cell r="B17">
            <v>0</v>
          </cell>
        </row>
        <row r="18">
          <cell r="B18">
            <v>0</v>
          </cell>
        </row>
        <row r="19">
          <cell r="B19">
            <v>314</v>
          </cell>
          <cell r="C19">
            <v>35909.012656028819</v>
          </cell>
        </row>
        <row r="21">
          <cell r="B21">
            <v>6</v>
          </cell>
        </row>
        <row r="22">
          <cell r="B22">
            <v>15</v>
          </cell>
        </row>
        <row r="23">
          <cell r="B23">
            <v>2</v>
          </cell>
        </row>
        <row r="24">
          <cell r="B24">
            <v>1</v>
          </cell>
        </row>
        <row r="25">
          <cell r="B25">
            <v>24</v>
          </cell>
          <cell r="C25">
            <v>2123.2050643552889</v>
          </cell>
        </row>
        <row r="27">
          <cell r="B27">
            <v>164</v>
          </cell>
          <cell r="C27">
            <v>6944.6675419678368</v>
          </cell>
        </row>
        <row r="28">
          <cell r="C28">
            <v>44976.89</v>
          </cell>
        </row>
      </sheetData>
      <sheetData sheetId="28" refreshError="1">
        <row r="6">
          <cell r="B6">
            <v>46</v>
          </cell>
        </row>
        <row r="7">
          <cell r="B7">
            <v>46</v>
          </cell>
        </row>
        <row r="8">
          <cell r="B8">
            <v>41</v>
          </cell>
        </row>
        <row r="9">
          <cell r="B9">
            <v>0</v>
          </cell>
        </row>
        <row r="10">
          <cell r="B10">
            <v>0</v>
          </cell>
        </row>
        <row r="11">
          <cell r="B11">
            <v>32</v>
          </cell>
        </row>
        <row r="12">
          <cell r="B12">
            <v>0</v>
          </cell>
        </row>
        <row r="13">
          <cell r="B13">
            <v>0</v>
          </cell>
        </row>
        <row r="14">
          <cell r="B14">
            <v>0</v>
          </cell>
        </row>
        <row r="15">
          <cell r="B15">
            <v>0</v>
          </cell>
        </row>
        <row r="16">
          <cell r="B16">
            <v>0</v>
          </cell>
        </row>
        <row r="17">
          <cell r="B17">
            <v>0</v>
          </cell>
        </row>
        <row r="18">
          <cell r="B18">
            <v>0</v>
          </cell>
        </row>
        <row r="19">
          <cell r="B19">
            <v>165</v>
          </cell>
          <cell r="C19">
            <v>21886.289140646812</v>
          </cell>
        </row>
        <row r="21">
          <cell r="B21">
            <v>1</v>
          </cell>
        </row>
        <row r="22">
          <cell r="B22">
            <v>0</v>
          </cell>
        </row>
        <row r="23">
          <cell r="B23">
            <v>0</v>
          </cell>
        </row>
        <row r="24">
          <cell r="B24">
            <v>0</v>
          </cell>
        </row>
        <row r="25">
          <cell r="B25">
            <v>1</v>
          </cell>
          <cell r="C25">
            <v>55.04919393023286</v>
          </cell>
        </row>
        <row r="27">
          <cell r="C27">
            <v>0</v>
          </cell>
        </row>
        <row r="28">
          <cell r="C28">
            <v>21941.34</v>
          </cell>
        </row>
      </sheetData>
      <sheetData sheetId="29" refreshError="1">
        <row r="6">
          <cell r="B6">
            <v>78</v>
          </cell>
        </row>
        <row r="7">
          <cell r="B7">
            <v>126</v>
          </cell>
        </row>
        <row r="8">
          <cell r="B8">
            <v>170</v>
          </cell>
        </row>
        <row r="9">
          <cell r="B9">
            <v>646</v>
          </cell>
        </row>
        <row r="10">
          <cell r="B10">
            <v>484</v>
          </cell>
        </row>
        <row r="11">
          <cell r="B11">
            <v>0</v>
          </cell>
        </row>
        <row r="12">
          <cell r="B12">
            <v>1035</v>
          </cell>
        </row>
        <row r="13">
          <cell r="B13">
            <v>0</v>
          </cell>
        </row>
        <row r="14">
          <cell r="B14">
            <v>1266</v>
          </cell>
        </row>
        <row r="15">
          <cell r="B15">
            <v>0</v>
          </cell>
        </row>
        <row r="16">
          <cell r="B16">
            <v>0</v>
          </cell>
        </row>
        <row r="17">
          <cell r="B17">
            <v>0</v>
          </cell>
        </row>
        <row r="18">
          <cell r="B18">
            <v>0</v>
          </cell>
        </row>
        <row r="19">
          <cell r="B19">
            <v>3805</v>
          </cell>
          <cell r="C19">
            <v>439750.95796656178</v>
          </cell>
        </row>
        <row r="21">
          <cell r="B21">
            <v>75</v>
          </cell>
        </row>
        <row r="22">
          <cell r="B22">
            <v>178</v>
          </cell>
        </row>
        <row r="23">
          <cell r="B23">
            <v>28</v>
          </cell>
        </row>
        <row r="24">
          <cell r="B24">
            <v>4</v>
          </cell>
        </row>
        <row r="25">
          <cell r="B25">
            <v>285</v>
          </cell>
          <cell r="C25">
            <v>24048.452096091187</v>
          </cell>
        </row>
        <row r="27">
          <cell r="B27">
            <v>11</v>
          </cell>
          <cell r="C27">
            <v>465.80087171735494</v>
          </cell>
        </row>
        <row r="28">
          <cell r="C28">
            <v>464265.21</v>
          </cell>
        </row>
      </sheetData>
      <sheetData sheetId="30" refreshError="1">
        <row r="6">
          <cell r="B6">
            <v>87</v>
          </cell>
        </row>
        <row r="7">
          <cell r="B7">
            <v>106</v>
          </cell>
        </row>
        <row r="8">
          <cell r="B8">
            <v>81</v>
          </cell>
        </row>
        <row r="9">
          <cell r="B9">
            <v>193</v>
          </cell>
        </row>
        <row r="10">
          <cell r="B10">
            <v>71</v>
          </cell>
        </row>
        <row r="11">
          <cell r="B11">
            <v>231</v>
          </cell>
        </row>
        <row r="12">
          <cell r="B12">
            <v>85</v>
          </cell>
        </row>
        <row r="13">
          <cell r="B13">
            <v>0</v>
          </cell>
        </row>
        <row r="14">
          <cell r="B14">
            <v>0</v>
          </cell>
        </row>
        <row r="15">
          <cell r="B15">
            <v>0</v>
          </cell>
        </row>
        <row r="16">
          <cell r="B16">
            <v>0</v>
          </cell>
        </row>
        <row r="17">
          <cell r="B17">
            <v>0</v>
          </cell>
        </row>
        <row r="18">
          <cell r="B18">
            <v>0</v>
          </cell>
        </row>
        <row r="19">
          <cell r="B19">
            <v>854</v>
          </cell>
          <cell r="C19">
            <v>99748.080763237114</v>
          </cell>
        </row>
        <row r="21">
          <cell r="B21">
            <v>32</v>
          </cell>
        </row>
        <row r="22">
          <cell r="B22">
            <v>7</v>
          </cell>
        </row>
        <row r="23">
          <cell r="B23">
            <v>5</v>
          </cell>
        </row>
        <row r="24">
          <cell r="B24">
            <v>1</v>
          </cell>
        </row>
        <row r="25">
          <cell r="B25">
            <v>45</v>
          </cell>
          <cell r="C25">
            <v>3317.3491173034172</v>
          </cell>
        </row>
        <row r="27">
          <cell r="B27">
            <v>7</v>
          </cell>
          <cell r="C27">
            <v>296.41873654740766</v>
          </cell>
        </row>
        <row r="28">
          <cell r="C28">
            <v>103361.85</v>
          </cell>
        </row>
      </sheetData>
      <sheetData sheetId="31" refreshError="1">
        <row r="6">
          <cell r="B6">
            <v>0</v>
          </cell>
        </row>
        <row r="7">
          <cell r="B7">
            <v>0</v>
          </cell>
        </row>
        <row r="8">
          <cell r="B8">
            <v>0</v>
          </cell>
        </row>
        <row r="9">
          <cell r="B9">
            <v>0</v>
          </cell>
        </row>
        <row r="10">
          <cell r="B10">
            <v>0</v>
          </cell>
        </row>
        <row r="11">
          <cell r="B11">
            <v>33</v>
          </cell>
        </row>
        <row r="12">
          <cell r="B12">
            <v>0</v>
          </cell>
        </row>
        <row r="13">
          <cell r="B13">
            <v>0</v>
          </cell>
        </row>
        <row r="14">
          <cell r="B14">
            <v>162</v>
          </cell>
        </row>
        <row r="15">
          <cell r="B15">
            <v>0</v>
          </cell>
        </row>
        <row r="16">
          <cell r="B16">
            <v>0</v>
          </cell>
        </row>
        <row r="17">
          <cell r="B17">
            <v>0</v>
          </cell>
        </row>
        <row r="18">
          <cell r="B18">
            <v>0</v>
          </cell>
        </row>
        <row r="19">
          <cell r="B19">
            <v>195</v>
          </cell>
          <cell r="C19">
            <v>23387.438313590465</v>
          </cell>
        </row>
        <row r="21">
          <cell r="B21">
            <v>4</v>
          </cell>
        </row>
        <row r="22">
          <cell r="B22">
            <v>14</v>
          </cell>
        </row>
        <row r="23">
          <cell r="B23">
            <v>7</v>
          </cell>
        </row>
        <row r="24">
          <cell r="B24">
            <v>6</v>
          </cell>
        </row>
        <row r="25">
          <cell r="B25">
            <v>31</v>
          </cell>
          <cell r="C25">
            <v>3901.7174836397353</v>
          </cell>
        </row>
        <row r="27">
          <cell r="B27">
            <v>5</v>
          </cell>
          <cell r="C27">
            <v>211.72766896243405</v>
          </cell>
        </row>
        <row r="28">
          <cell r="C28">
            <v>27500.880000000001</v>
          </cell>
        </row>
      </sheetData>
      <sheetData sheetId="32" refreshError="1">
        <row r="6">
          <cell r="B6">
            <v>30</v>
          </cell>
        </row>
        <row r="7">
          <cell r="B7">
            <v>39</v>
          </cell>
        </row>
        <row r="8">
          <cell r="B8">
            <v>106</v>
          </cell>
        </row>
        <row r="9">
          <cell r="B9">
            <v>362</v>
          </cell>
        </row>
        <row r="10">
          <cell r="B10">
            <v>179</v>
          </cell>
        </row>
        <row r="11">
          <cell r="B11">
            <v>0</v>
          </cell>
        </row>
        <row r="12">
          <cell r="B12">
            <v>142</v>
          </cell>
        </row>
        <row r="13">
          <cell r="B13">
            <v>0</v>
          </cell>
        </row>
        <row r="14">
          <cell r="B14">
            <v>0</v>
          </cell>
        </row>
        <row r="15">
          <cell r="B15">
            <v>0</v>
          </cell>
        </row>
        <row r="16">
          <cell r="B16">
            <v>0</v>
          </cell>
        </row>
        <row r="17">
          <cell r="B17">
            <v>0</v>
          </cell>
        </row>
        <row r="18">
          <cell r="B18">
            <v>0</v>
          </cell>
        </row>
        <row r="19">
          <cell r="B19">
            <v>858</v>
          </cell>
          <cell r="C19">
            <v>96967.037831415568</v>
          </cell>
        </row>
        <row r="21">
          <cell r="B21">
            <v>25</v>
          </cell>
        </row>
        <row r="22">
          <cell r="B22">
            <v>12</v>
          </cell>
        </row>
        <row r="23">
          <cell r="B23">
            <v>4</v>
          </cell>
        </row>
        <row r="24">
          <cell r="B24">
            <v>2</v>
          </cell>
        </row>
        <row r="25">
          <cell r="B25">
            <v>43</v>
          </cell>
          <cell r="C25">
            <v>3456.6659234806984</v>
          </cell>
        </row>
        <row r="27">
          <cell r="B27">
            <v>0</v>
          </cell>
          <cell r="C27">
            <v>0</v>
          </cell>
        </row>
        <row r="28">
          <cell r="C28">
            <v>100423.7</v>
          </cell>
        </row>
      </sheetData>
      <sheetData sheetId="33" refreshError="1">
        <row r="6">
          <cell r="B6">
            <v>0</v>
          </cell>
        </row>
        <row r="7">
          <cell r="B7">
            <v>0</v>
          </cell>
        </row>
        <row r="8">
          <cell r="B8">
            <v>0</v>
          </cell>
        </row>
        <row r="9">
          <cell r="B9">
            <v>0</v>
          </cell>
        </row>
        <row r="10">
          <cell r="B10">
            <v>0</v>
          </cell>
        </row>
        <row r="11">
          <cell r="B11">
            <v>37</v>
          </cell>
        </row>
        <row r="12">
          <cell r="B12">
            <v>283</v>
          </cell>
        </row>
        <row r="13">
          <cell r="B13">
            <v>0</v>
          </cell>
        </row>
        <row r="14">
          <cell r="B14">
            <v>0</v>
          </cell>
        </row>
        <row r="15">
          <cell r="B15">
            <v>0</v>
          </cell>
        </row>
        <row r="16">
          <cell r="B16">
            <v>0</v>
          </cell>
        </row>
        <row r="17">
          <cell r="B17">
            <v>0</v>
          </cell>
        </row>
        <row r="18">
          <cell r="B18">
            <v>0</v>
          </cell>
        </row>
        <row r="19">
          <cell r="B19">
            <v>320</v>
          </cell>
          <cell r="C19">
            <v>34775.210988734987</v>
          </cell>
        </row>
        <row r="21">
          <cell r="B21">
            <v>3</v>
          </cell>
        </row>
        <row r="22">
          <cell r="B22">
            <v>3</v>
          </cell>
        </row>
        <row r="23">
          <cell r="B23">
            <v>1</v>
          </cell>
        </row>
        <row r="24">
          <cell r="B24">
            <v>0</v>
          </cell>
        </row>
        <row r="25">
          <cell r="B25">
            <v>7</v>
          </cell>
          <cell r="C25">
            <v>560.01968440563815</v>
          </cell>
        </row>
        <row r="27">
          <cell r="C27">
            <v>0</v>
          </cell>
        </row>
        <row r="28">
          <cell r="C28">
            <v>35335.230000000003</v>
          </cell>
        </row>
      </sheetData>
      <sheetData sheetId="34" refreshError="1">
        <row r="6">
          <cell r="B6">
            <v>0</v>
          </cell>
        </row>
        <row r="7">
          <cell r="B7">
            <v>19</v>
          </cell>
        </row>
        <row r="8">
          <cell r="B8">
            <v>31</v>
          </cell>
        </row>
        <row r="9">
          <cell r="B9">
            <v>112</v>
          </cell>
        </row>
        <row r="10">
          <cell r="B10">
            <v>80</v>
          </cell>
        </row>
        <row r="11">
          <cell r="B11">
            <v>0</v>
          </cell>
        </row>
        <row r="12">
          <cell r="B12">
            <v>198</v>
          </cell>
        </row>
        <row r="13">
          <cell r="B13">
            <v>0</v>
          </cell>
        </row>
        <row r="14">
          <cell r="B14">
            <v>270</v>
          </cell>
        </row>
        <row r="15">
          <cell r="B15">
            <v>0</v>
          </cell>
        </row>
        <row r="16">
          <cell r="B16">
            <v>0</v>
          </cell>
        </row>
        <row r="17">
          <cell r="B17">
            <v>0</v>
          </cell>
        </row>
        <row r="18">
          <cell r="B18">
            <v>0</v>
          </cell>
        </row>
        <row r="19">
          <cell r="B19">
            <v>710</v>
          </cell>
          <cell r="C19">
            <v>81953.42882528936</v>
          </cell>
        </row>
        <row r="21">
          <cell r="B21">
            <v>21</v>
          </cell>
        </row>
        <row r="22">
          <cell r="B22">
            <v>30</v>
          </cell>
        </row>
        <row r="23">
          <cell r="B23">
            <v>10</v>
          </cell>
        </row>
        <row r="24">
          <cell r="B24">
            <v>3</v>
          </cell>
        </row>
        <row r="25">
          <cell r="B25">
            <v>64</v>
          </cell>
          <cell r="C25">
            <v>5856.1755958319645</v>
          </cell>
        </row>
        <row r="27">
          <cell r="B27">
            <v>7</v>
          </cell>
          <cell r="C27">
            <v>296.41873654740766</v>
          </cell>
        </row>
        <row r="28">
          <cell r="C28">
            <v>88106.02</v>
          </cell>
        </row>
      </sheetData>
      <sheetData sheetId="35" refreshError="1">
        <row r="6">
          <cell r="B6">
            <v>0</v>
          </cell>
        </row>
        <row r="7">
          <cell r="B7">
            <v>0</v>
          </cell>
        </row>
        <row r="8">
          <cell r="B8">
            <v>0</v>
          </cell>
        </row>
        <row r="9">
          <cell r="B9">
            <v>0</v>
          </cell>
        </row>
        <row r="10">
          <cell r="B10">
            <v>0</v>
          </cell>
        </row>
        <row r="11">
          <cell r="B11">
            <v>0</v>
          </cell>
        </row>
        <row r="12">
          <cell r="B12">
            <v>145</v>
          </cell>
        </row>
        <row r="13">
          <cell r="B13">
            <v>0</v>
          </cell>
        </row>
        <row r="14">
          <cell r="B14">
            <v>328</v>
          </cell>
        </row>
        <row r="15">
          <cell r="B15">
            <v>0</v>
          </cell>
        </row>
        <row r="16">
          <cell r="B16">
            <v>0</v>
          </cell>
        </row>
        <row r="17">
          <cell r="B17">
            <v>0</v>
          </cell>
        </row>
        <row r="18">
          <cell r="B18">
            <v>0</v>
          </cell>
        </row>
        <row r="19">
          <cell r="B19">
            <v>473</v>
          </cell>
          <cell r="C19">
            <v>56089.83542318322</v>
          </cell>
        </row>
        <row r="21">
          <cell r="B21">
            <v>2</v>
          </cell>
        </row>
        <row r="22">
          <cell r="B22">
            <v>15</v>
          </cell>
        </row>
        <row r="23">
          <cell r="B23">
            <v>38</v>
          </cell>
        </row>
        <row r="24">
          <cell r="B24">
            <v>1</v>
          </cell>
        </row>
        <row r="25">
          <cell r="B25">
            <v>56</v>
          </cell>
          <cell r="C25">
            <v>7086.1016248347432</v>
          </cell>
        </row>
        <row r="27">
          <cell r="C27">
            <v>0</v>
          </cell>
        </row>
        <row r="28">
          <cell r="C28">
            <v>63175.94</v>
          </cell>
        </row>
      </sheetData>
      <sheetData sheetId="36" refreshError="1">
        <row r="6">
          <cell r="B6">
            <v>18</v>
          </cell>
        </row>
        <row r="7">
          <cell r="B7">
            <v>25</v>
          </cell>
        </row>
        <row r="8">
          <cell r="B8">
            <v>25</v>
          </cell>
        </row>
        <row r="9">
          <cell r="B9">
            <v>81</v>
          </cell>
        </row>
        <row r="10">
          <cell r="B10">
            <v>54</v>
          </cell>
        </row>
        <row r="11">
          <cell r="B11">
            <v>61</v>
          </cell>
        </row>
        <row r="12">
          <cell r="B12">
            <v>74</v>
          </cell>
        </row>
        <row r="13">
          <cell r="B13">
            <v>0</v>
          </cell>
        </row>
        <row r="14">
          <cell r="B14">
            <v>112</v>
          </cell>
        </row>
        <row r="15">
          <cell r="B15">
            <v>0</v>
          </cell>
        </row>
        <row r="16">
          <cell r="B16">
            <v>0</v>
          </cell>
        </row>
        <row r="17">
          <cell r="B17">
            <v>0</v>
          </cell>
        </row>
        <row r="18">
          <cell r="B18">
            <v>0</v>
          </cell>
        </row>
        <row r="19">
          <cell r="B19">
            <v>450</v>
          </cell>
          <cell r="C19">
            <v>52006.667327242678</v>
          </cell>
        </row>
        <row r="21">
          <cell r="B21">
            <v>20</v>
          </cell>
        </row>
        <row r="22">
          <cell r="B22">
            <v>10</v>
          </cell>
        </row>
        <row r="23">
          <cell r="B23">
            <v>0</v>
          </cell>
        </row>
        <row r="24">
          <cell r="B24">
            <v>2</v>
          </cell>
        </row>
        <row r="25">
          <cell r="B25">
            <v>32</v>
          </cell>
          <cell r="C25">
            <v>2438.2558357713906</v>
          </cell>
        </row>
        <row r="27">
          <cell r="B27">
            <v>10</v>
          </cell>
          <cell r="C27">
            <v>423.4553379248681</v>
          </cell>
        </row>
        <row r="28">
          <cell r="C28">
            <v>54868.38</v>
          </cell>
        </row>
      </sheetData>
      <sheetData sheetId="37" refreshError="1">
        <row r="6">
          <cell r="B6">
            <v>65</v>
          </cell>
        </row>
        <row r="7">
          <cell r="B7">
            <v>29</v>
          </cell>
        </row>
        <row r="8">
          <cell r="B8">
            <v>24</v>
          </cell>
        </row>
        <row r="9">
          <cell r="B9">
            <v>103</v>
          </cell>
        </row>
        <row r="10">
          <cell r="B10">
            <v>0</v>
          </cell>
        </row>
        <row r="11">
          <cell r="B11">
            <v>159</v>
          </cell>
        </row>
        <row r="12">
          <cell r="B12">
            <v>0</v>
          </cell>
        </row>
        <row r="13">
          <cell r="B13">
            <v>0</v>
          </cell>
        </row>
        <row r="14">
          <cell r="B14">
            <v>0</v>
          </cell>
        </row>
        <row r="15">
          <cell r="B15">
            <v>0</v>
          </cell>
        </row>
        <row r="16">
          <cell r="B16">
            <v>0</v>
          </cell>
        </row>
        <row r="17">
          <cell r="B17">
            <v>0</v>
          </cell>
        </row>
        <row r="18">
          <cell r="B18">
            <v>0</v>
          </cell>
        </row>
        <row r="19">
          <cell r="B19">
            <v>380</v>
          </cell>
          <cell r="C19">
            <v>44251.082813148721</v>
          </cell>
        </row>
        <row r="21">
          <cell r="B21">
            <v>4</v>
          </cell>
        </row>
        <row r="22">
          <cell r="B22">
            <v>3</v>
          </cell>
        </row>
        <row r="23">
          <cell r="B23">
            <v>1</v>
          </cell>
        </row>
        <row r="24">
          <cell r="B24">
            <v>0</v>
          </cell>
        </row>
        <row r="25">
          <cell r="B25">
            <v>8</v>
          </cell>
          <cell r="C25">
            <v>615.06887833587098</v>
          </cell>
        </row>
        <row r="27">
          <cell r="C27">
            <v>0</v>
          </cell>
        </row>
        <row r="28">
          <cell r="C28">
            <v>44866.15</v>
          </cell>
        </row>
      </sheetData>
      <sheetData sheetId="38" refreshError="1">
        <row r="6">
          <cell r="B6">
            <v>0</v>
          </cell>
        </row>
        <row r="7">
          <cell r="B7">
            <v>0</v>
          </cell>
        </row>
        <row r="8">
          <cell r="B8">
            <v>0</v>
          </cell>
        </row>
        <row r="9">
          <cell r="B9">
            <v>0</v>
          </cell>
        </row>
        <row r="10">
          <cell r="B10">
            <v>0</v>
          </cell>
        </row>
        <row r="11">
          <cell r="B11">
            <v>20</v>
          </cell>
        </row>
        <row r="12">
          <cell r="B12">
            <v>30</v>
          </cell>
        </row>
        <row r="13">
          <cell r="B13">
            <v>0</v>
          </cell>
        </row>
        <row r="14">
          <cell r="B14">
            <v>150</v>
          </cell>
        </row>
        <row r="15">
          <cell r="B15">
            <v>0</v>
          </cell>
        </row>
        <row r="16">
          <cell r="B16">
            <v>0</v>
          </cell>
        </row>
        <row r="17">
          <cell r="B17">
            <v>0</v>
          </cell>
        </row>
        <row r="18">
          <cell r="B18">
            <v>0</v>
          </cell>
        </row>
        <row r="19">
          <cell r="B19">
            <v>200</v>
          </cell>
          <cell r="C19">
            <v>23808.776374825713</v>
          </cell>
        </row>
        <row r="21">
          <cell r="B21">
            <v>4</v>
          </cell>
        </row>
        <row r="22">
          <cell r="B22">
            <v>13</v>
          </cell>
        </row>
        <row r="23">
          <cell r="B23">
            <v>3</v>
          </cell>
        </row>
        <row r="24">
          <cell r="B24">
            <v>0</v>
          </cell>
        </row>
        <row r="25">
          <cell r="B25">
            <v>20</v>
          </cell>
          <cell r="C25">
            <v>1739.3428005263959</v>
          </cell>
        </row>
        <row r="27">
          <cell r="C27">
            <v>0</v>
          </cell>
        </row>
        <row r="28">
          <cell r="C28">
            <v>25548.12</v>
          </cell>
        </row>
      </sheetData>
      <sheetData sheetId="39" refreshError="1">
        <row r="6">
          <cell r="B6">
            <v>0</v>
          </cell>
        </row>
        <row r="7">
          <cell r="B7">
            <v>98</v>
          </cell>
        </row>
        <row r="8">
          <cell r="B8">
            <v>98</v>
          </cell>
        </row>
        <row r="9">
          <cell r="B9">
            <v>0</v>
          </cell>
        </row>
        <row r="10">
          <cell r="B10">
            <v>252</v>
          </cell>
        </row>
        <row r="11">
          <cell r="B11">
            <v>483</v>
          </cell>
        </row>
        <row r="12">
          <cell r="B12">
            <v>649</v>
          </cell>
        </row>
        <row r="13">
          <cell r="B13">
            <v>0</v>
          </cell>
        </row>
        <row r="14">
          <cell r="B14">
            <v>0</v>
          </cell>
        </row>
        <row r="15">
          <cell r="B15">
            <v>0</v>
          </cell>
        </row>
        <row r="16">
          <cell r="B16">
            <v>0</v>
          </cell>
        </row>
        <row r="17">
          <cell r="B17">
            <v>0</v>
          </cell>
        </row>
        <row r="18">
          <cell r="B18">
            <v>0</v>
          </cell>
        </row>
        <row r="19">
          <cell r="B19">
            <v>1580</v>
          </cell>
          <cell r="C19">
            <v>175550.82080516778</v>
          </cell>
        </row>
        <row r="21">
          <cell r="B21">
            <v>21</v>
          </cell>
        </row>
        <row r="22">
          <cell r="B22">
            <v>62</v>
          </cell>
        </row>
        <row r="23">
          <cell r="B23">
            <v>23</v>
          </cell>
        </row>
        <row r="24">
          <cell r="B24">
            <v>1</v>
          </cell>
        </row>
        <row r="25">
          <cell r="B25">
            <v>107</v>
          </cell>
          <cell r="C25">
            <v>9903.1382603799284</v>
          </cell>
        </row>
        <row r="27">
          <cell r="B27">
            <v>1</v>
          </cell>
          <cell r="C27">
            <v>42.345533792486812</v>
          </cell>
        </row>
        <row r="28">
          <cell r="C28">
            <v>185496.3</v>
          </cell>
        </row>
      </sheetData>
      <sheetData sheetId="40" refreshError="1">
        <row r="6">
          <cell r="B6">
            <v>34</v>
          </cell>
        </row>
        <row r="7">
          <cell r="B7">
            <v>31</v>
          </cell>
        </row>
        <row r="8">
          <cell r="B8">
            <v>24</v>
          </cell>
        </row>
        <row r="9">
          <cell r="B9">
            <v>51</v>
          </cell>
        </row>
        <row r="10">
          <cell r="B10">
            <v>4</v>
          </cell>
        </row>
        <row r="11">
          <cell r="B11">
            <v>27</v>
          </cell>
        </row>
        <row r="12">
          <cell r="B12">
            <v>0</v>
          </cell>
        </row>
        <row r="13">
          <cell r="B13">
            <v>0</v>
          </cell>
        </row>
        <row r="14">
          <cell r="B14">
            <v>0</v>
          </cell>
        </row>
        <row r="15">
          <cell r="B15">
            <v>0</v>
          </cell>
        </row>
        <row r="16">
          <cell r="B16">
            <v>0</v>
          </cell>
        </row>
        <row r="17">
          <cell r="B17">
            <v>0</v>
          </cell>
        </row>
        <row r="18">
          <cell r="B18">
            <v>0</v>
          </cell>
        </row>
        <row r="19">
          <cell r="B19">
            <v>171</v>
          </cell>
          <cell r="C19">
            <v>21073.25489183106</v>
          </cell>
        </row>
        <row r="21">
          <cell r="B21">
            <v>8</v>
          </cell>
        </row>
        <row r="22">
          <cell r="B22">
            <v>4</v>
          </cell>
        </row>
        <row r="23">
          <cell r="B23">
            <v>0</v>
          </cell>
        </row>
        <row r="24">
          <cell r="B24">
            <v>0</v>
          </cell>
        </row>
        <row r="25">
          <cell r="B25">
            <v>12</v>
          </cell>
          <cell r="C25">
            <v>774.92326840250871</v>
          </cell>
        </row>
        <row r="27">
          <cell r="B27">
            <v>22</v>
          </cell>
          <cell r="C27">
            <v>931.60174343470987</v>
          </cell>
        </row>
        <row r="28">
          <cell r="C28">
            <v>22779.78</v>
          </cell>
        </row>
      </sheetData>
      <sheetData sheetId="41" refreshError="1">
        <row r="6">
          <cell r="B6">
            <v>0</v>
          </cell>
        </row>
        <row r="7">
          <cell r="B7">
            <v>0</v>
          </cell>
        </row>
        <row r="8">
          <cell r="B8">
            <v>0</v>
          </cell>
        </row>
        <row r="9">
          <cell r="B9">
            <v>0</v>
          </cell>
        </row>
        <row r="10">
          <cell r="B10">
            <v>0</v>
          </cell>
        </row>
        <row r="11">
          <cell r="B11">
            <v>16</v>
          </cell>
        </row>
        <row r="12">
          <cell r="B12">
            <v>0</v>
          </cell>
        </row>
        <row r="13">
          <cell r="B13">
            <v>0</v>
          </cell>
        </row>
        <row r="14">
          <cell r="B14">
            <v>0</v>
          </cell>
        </row>
        <row r="15">
          <cell r="B15">
            <v>0</v>
          </cell>
        </row>
        <row r="16">
          <cell r="B16">
            <v>84</v>
          </cell>
        </row>
        <row r="17">
          <cell r="B17">
            <v>0</v>
          </cell>
        </row>
        <row r="18">
          <cell r="B18">
            <v>0</v>
          </cell>
        </row>
        <row r="19">
          <cell r="B19">
            <v>100</v>
          </cell>
          <cell r="C19">
            <v>12098.119004513481</v>
          </cell>
        </row>
        <row r="21">
          <cell r="B21">
            <v>4</v>
          </cell>
        </row>
        <row r="22">
          <cell r="B22">
            <v>0</v>
          </cell>
        </row>
        <row r="23">
          <cell r="B23">
            <v>0</v>
          </cell>
        </row>
        <row r="24">
          <cell r="B24">
            <v>0</v>
          </cell>
        </row>
        <row r="25">
          <cell r="B25">
            <v>4</v>
          </cell>
          <cell r="C25">
            <v>220.19677572093144</v>
          </cell>
        </row>
        <row r="27">
          <cell r="B27">
            <v>45</v>
          </cell>
          <cell r="C27">
            <v>1905.5490206619065</v>
          </cell>
        </row>
        <row r="28">
          <cell r="C28">
            <v>14223.86</v>
          </cell>
        </row>
      </sheetData>
      <sheetData sheetId="42" refreshError="1">
        <row r="6">
          <cell r="B6">
            <v>0</v>
          </cell>
        </row>
        <row r="7">
          <cell r="B7">
            <v>39</v>
          </cell>
        </row>
        <row r="8">
          <cell r="B8">
            <v>24</v>
          </cell>
        </row>
        <row r="9">
          <cell r="B9">
            <v>72</v>
          </cell>
        </row>
        <row r="10">
          <cell r="B10">
            <v>30</v>
          </cell>
        </row>
        <row r="11">
          <cell r="B11">
            <v>96</v>
          </cell>
        </row>
        <row r="12">
          <cell r="B12">
            <v>49</v>
          </cell>
        </row>
        <row r="13">
          <cell r="B13">
            <v>0</v>
          </cell>
        </row>
        <row r="14">
          <cell r="B14">
            <v>0</v>
          </cell>
        </row>
        <row r="15">
          <cell r="B15">
            <v>0</v>
          </cell>
        </row>
        <row r="16">
          <cell r="B16">
            <v>0</v>
          </cell>
        </row>
        <row r="17">
          <cell r="B17">
            <v>0</v>
          </cell>
        </row>
        <row r="18">
          <cell r="B18">
            <v>0</v>
          </cell>
        </row>
        <row r="19">
          <cell r="B19">
            <v>310</v>
          </cell>
          <cell r="C19">
            <v>34974.234997559666</v>
          </cell>
        </row>
        <row r="21">
          <cell r="B21">
            <v>11</v>
          </cell>
        </row>
        <row r="22">
          <cell r="B22">
            <v>5</v>
          </cell>
        </row>
        <row r="23">
          <cell r="B23">
            <v>1</v>
          </cell>
        </row>
        <row r="24">
          <cell r="B24">
            <v>2</v>
          </cell>
        </row>
        <row r="25">
          <cell r="B25">
            <v>19</v>
          </cell>
          <cell r="C25">
            <v>1668.6257590929431</v>
          </cell>
        </row>
        <row r="27">
          <cell r="C27">
            <v>0</v>
          </cell>
        </row>
        <row r="28">
          <cell r="C28">
            <v>36642.86</v>
          </cell>
        </row>
      </sheetData>
      <sheetData sheetId="43" refreshError="1">
        <row r="6">
          <cell r="B6">
            <v>0</v>
          </cell>
        </row>
        <row r="7">
          <cell r="B7">
            <v>0</v>
          </cell>
        </row>
        <row r="8">
          <cell r="B8">
            <v>0</v>
          </cell>
        </row>
        <row r="9">
          <cell r="B9">
            <v>0</v>
          </cell>
        </row>
        <row r="10">
          <cell r="B10">
            <v>0</v>
          </cell>
        </row>
        <row r="11">
          <cell r="B11">
            <v>59</v>
          </cell>
        </row>
        <row r="12">
          <cell r="B12">
            <v>195</v>
          </cell>
        </row>
        <row r="13">
          <cell r="B13">
            <v>0</v>
          </cell>
        </row>
        <row r="15">
          <cell r="B15">
            <v>0</v>
          </cell>
        </row>
        <row r="16">
          <cell r="B16">
            <v>301</v>
          </cell>
        </row>
        <row r="17">
          <cell r="B17">
            <v>0</v>
          </cell>
        </row>
        <row r="18">
          <cell r="B18">
            <v>0</v>
          </cell>
        </row>
        <row r="19">
          <cell r="B19">
            <v>555</v>
          </cell>
          <cell r="C19">
            <v>64790.78397919445</v>
          </cell>
        </row>
        <row r="21">
          <cell r="B21">
            <v>22</v>
          </cell>
        </row>
        <row r="22">
          <cell r="B22">
            <v>29</v>
          </cell>
        </row>
        <row r="23">
          <cell r="B23">
            <v>23</v>
          </cell>
        </row>
        <row r="24">
          <cell r="B24">
            <v>5</v>
          </cell>
        </row>
        <row r="25">
          <cell r="B25">
            <v>79</v>
          </cell>
          <cell r="C25">
            <v>8200.2126189150713</v>
          </cell>
        </row>
        <row r="27">
          <cell r="B27">
            <v>2</v>
          </cell>
          <cell r="C27">
            <v>84.691067584973624</v>
          </cell>
        </row>
        <row r="28">
          <cell r="C28">
            <v>73075.69</v>
          </cell>
        </row>
      </sheetData>
      <sheetData sheetId="44" refreshError="1">
        <row r="6">
          <cell r="B6">
            <v>46</v>
          </cell>
        </row>
        <row r="7">
          <cell r="B7">
            <v>52</v>
          </cell>
        </row>
        <row r="8">
          <cell r="B8">
            <v>50</v>
          </cell>
        </row>
        <row r="9">
          <cell r="B9">
            <v>186</v>
          </cell>
        </row>
        <row r="10">
          <cell r="B10">
            <v>83</v>
          </cell>
        </row>
        <row r="11">
          <cell r="B11">
            <v>0</v>
          </cell>
        </row>
        <row r="12">
          <cell r="B12">
            <v>90</v>
          </cell>
        </row>
        <row r="13">
          <cell r="B13">
            <v>0</v>
          </cell>
        </row>
        <row r="14">
          <cell r="B14">
            <v>0</v>
          </cell>
        </row>
        <row r="15">
          <cell r="B15">
            <v>0</v>
          </cell>
        </row>
        <row r="16">
          <cell r="B16">
            <v>0</v>
          </cell>
        </row>
        <row r="17">
          <cell r="B17">
            <v>0</v>
          </cell>
        </row>
        <row r="18">
          <cell r="B18">
            <v>0</v>
          </cell>
        </row>
        <row r="19">
          <cell r="B19">
            <v>507</v>
          </cell>
          <cell r="C19">
            <v>58853.940141487794</v>
          </cell>
        </row>
        <row r="21">
          <cell r="B21">
            <v>44</v>
          </cell>
        </row>
        <row r="22">
          <cell r="B22">
            <v>8</v>
          </cell>
        </row>
        <row r="23">
          <cell r="B23">
            <v>2</v>
          </cell>
        </row>
        <row r="24">
          <cell r="B24">
            <v>2</v>
          </cell>
        </row>
        <row r="25">
          <cell r="B25">
            <v>56</v>
          </cell>
          <cell r="C25">
            <v>3880.1212614055671</v>
          </cell>
        </row>
        <row r="27">
          <cell r="B27">
            <v>76</v>
          </cell>
          <cell r="C27">
            <v>3218.2605682289977</v>
          </cell>
        </row>
        <row r="28">
          <cell r="C28">
            <v>65952.320000000007</v>
          </cell>
        </row>
      </sheetData>
      <sheetData sheetId="45" refreshError="1">
        <row r="6">
          <cell r="B6">
            <v>0</v>
          </cell>
        </row>
        <row r="7">
          <cell r="B7">
            <v>22</v>
          </cell>
        </row>
        <row r="8">
          <cell r="B8">
            <v>20</v>
          </cell>
        </row>
        <row r="9">
          <cell r="B9">
            <v>77</v>
          </cell>
        </row>
        <row r="10">
          <cell r="B10">
            <v>47</v>
          </cell>
        </row>
        <row r="11">
          <cell r="B11">
            <v>0</v>
          </cell>
        </row>
        <row r="12">
          <cell r="B12">
            <v>0</v>
          </cell>
        </row>
        <row r="13">
          <cell r="B13">
            <v>0</v>
          </cell>
        </row>
        <row r="14">
          <cell r="B14">
            <v>0</v>
          </cell>
        </row>
        <row r="15">
          <cell r="B15">
            <v>0</v>
          </cell>
        </row>
        <row r="16">
          <cell r="B16">
            <v>0</v>
          </cell>
        </row>
        <row r="17">
          <cell r="B17">
            <v>0</v>
          </cell>
        </row>
        <row r="18">
          <cell r="B18">
            <v>0</v>
          </cell>
        </row>
        <row r="19">
          <cell r="B19">
            <v>166</v>
          </cell>
          <cell r="C19">
            <v>18907.280838345363</v>
          </cell>
        </row>
        <row r="21">
          <cell r="B21">
            <v>7</v>
          </cell>
        </row>
        <row r="22">
          <cell r="B22">
            <v>5</v>
          </cell>
        </row>
        <row r="23">
          <cell r="B23">
            <v>0</v>
          </cell>
        </row>
        <row r="24">
          <cell r="B24">
            <v>0</v>
          </cell>
        </row>
        <row r="25">
          <cell r="B25">
            <v>12</v>
          </cell>
          <cell r="C25">
            <v>803.50650371243728</v>
          </cell>
        </row>
        <row r="27">
          <cell r="C27">
            <v>0</v>
          </cell>
        </row>
        <row r="28">
          <cell r="C28">
            <v>19710.79</v>
          </cell>
        </row>
      </sheetData>
      <sheetData sheetId="46" refreshError="1">
        <row r="6">
          <cell r="B6">
            <v>0</v>
          </cell>
        </row>
        <row r="7">
          <cell r="B7">
            <v>0</v>
          </cell>
        </row>
        <row r="8">
          <cell r="B8">
            <v>0</v>
          </cell>
        </row>
        <row r="9">
          <cell r="B9">
            <v>0</v>
          </cell>
        </row>
        <row r="10">
          <cell r="B10">
            <v>11</v>
          </cell>
        </row>
        <row r="11">
          <cell r="B11">
            <v>44</v>
          </cell>
        </row>
        <row r="12">
          <cell r="B12">
            <v>216</v>
          </cell>
        </row>
        <row r="13">
          <cell r="B13">
            <v>0</v>
          </cell>
        </row>
        <row r="14">
          <cell r="B14">
            <v>89</v>
          </cell>
        </row>
        <row r="15">
          <cell r="B15">
            <v>0</v>
          </cell>
        </row>
        <row r="16">
          <cell r="B16">
            <v>0</v>
          </cell>
        </row>
        <row r="17">
          <cell r="B17">
            <v>0</v>
          </cell>
        </row>
        <row r="18">
          <cell r="B18">
            <v>0</v>
          </cell>
        </row>
        <row r="19">
          <cell r="B19">
            <v>360</v>
          </cell>
          <cell r="C19">
            <v>40304.479063688952</v>
          </cell>
        </row>
        <row r="21">
          <cell r="B21">
            <v>3</v>
          </cell>
        </row>
        <row r="22">
          <cell r="B22">
            <v>33</v>
          </cell>
        </row>
        <row r="23">
          <cell r="B23">
            <v>12</v>
          </cell>
        </row>
        <row r="24">
          <cell r="B24">
            <v>187</v>
          </cell>
        </row>
        <row r="25">
          <cell r="B25">
            <v>235</v>
          </cell>
          <cell r="C25">
            <v>51491.322180988114</v>
          </cell>
        </row>
        <row r="27">
          <cell r="C27">
            <v>0</v>
          </cell>
        </row>
        <row r="28">
          <cell r="C28">
            <v>91795.8</v>
          </cell>
        </row>
      </sheetData>
      <sheetData sheetId="47" refreshError="1">
        <row r="6">
          <cell r="B6">
            <v>0</v>
          </cell>
        </row>
        <row r="7">
          <cell r="B7">
            <v>0</v>
          </cell>
        </row>
        <row r="8">
          <cell r="B8">
            <v>0</v>
          </cell>
        </row>
        <row r="9">
          <cell r="B9">
            <v>0</v>
          </cell>
        </row>
        <row r="10">
          <cell r="B10">
            <v>0</v>
          </cell>
        </row>
        <row r="11">
          <cell r="B11">
            <v>102</v>
          </cell>
        </row>
        <row r="12">
          <cell r="B12">
            <v>573</v>
          </cell>
        </row>
        <row r="13">
          <cell r="B13">
            <v>0</v>
          </cell>
        </row>
        <row r="14">
          <cell r="B14">
            <v>0</v>
          </cell>
        </row>
        <row r="15">
          <cell r="B15">
            <v>0</v>
          </cell>
        </row>
        <row r="16">
          <cell r="B16">
            <v>0</v>
          </cell>
        </row>
        <row r="17">
          <cell r="B17">
            <v>0</v>
          </cell>
        </row>
        <row r="18">
          <cell r="B18">
            <v>0</v>
          </cell>
        </row>
        <row r="19">
          <cell r="B19">
            <v>675</v>
          </cell>
          <cell r="C19">
            <v>73277.887589553618</v>
          </cell>
        </row>
        <row r="21">
          <cell r="B21">
            <v>10</v>
          </cell>
        </row>
        <row r="22">
          <cell r="B22">
            <v>37</v>
          </cell>
        </row>
        <row r="23">
          <cell r="B23">
            <v>9</v>
          </cell>
        </row>
        <row r="24">
          <cell r="B24">
            <v>0</v>
          </cell>
        </row>
        <row r="25">
          <cell r="B25">
            <v>56</v>
          </cell>
          <cell r="C25">
            <v>4940.6651552383992</v>
          </cell>
        </row>
        <row r="27">
          <cell r="B27">
            <v>52</v>
          </cell>
          <cell r="C27">
            <v>2201.9677572093142</v>
          </cell>
        </row>
        <row r="28">
          <cell r="C28">
            <v>80420.52</v>
          </cell>
        </row>
      </sheetData>
      <sheetData sheetId="48" refreshError="1">
        <row r="6">
          <cell r="B6">
            <v>2</v>
          </cell>
        </row>
        <row r="7">
          <cell r="B7">
            <v>46</v>
          </cell>
        </row>
        <row r="8">
          <cell r="B8">
            <v>28</v>
          </cell>
        </row>
        <row r="9">
          <cell r="B9">
            <v>83</v>
          </cell>
        </row>
        <row r="10">
          <cell r="B10">
            <v>44</v>
          </cell>
        </row>
        <row r="11">
          <cell r="B11">
            <v>134</v>
          </cell>
        </row>
        <row r="12">
          <cell r="B12">
            <v>13</v>
          </cell>
        </row>
        <row r="13">
          <cell r="B13">
            <v>0</v>
          </cell>
        </row>
        <row r="14">
          <cell r="B14">
            <v>0</v>
          </cell>
        </row>
        <row r="15">
          <cell r="B15">
            <v>0</v>
          </cell>
        </row>
        <row r="16">
          <cell r="B16">
            <v>0</v>
          </cell>
        </row>
        <row r="17">
          <cell r="B17">
            <v>0</v>
          </cell>
        </row>
        <row r="18">
          <cell r="B18">
            <v>0</v>
          </cell>
        </row>
        <row r="19">
          <cell r="B19">
            <v>350</v>
          </cell>
          <cell r="C19">
            <v>39515.79349680389</v>
          </cell>
        </row>
        <row r="21">
          <cell r="B21">
            <v>1</v>
          </cell>
        </row>
        <row r="22">
          <cell r="B22">
            <v>8</v>
          </cell>
        </row>
        <row r="23">
          <cell r="B23">
            <v>2</v>
          </cell>
        </row>
        <row r="24">
          <cell r="B24">
            <v>0</v>
          </cell>
        </row>
        <row r="25">
          <cell r="B25">
            <v>11</v>
          </cell>
          <cell r="C25">
            <v>1012.0582576404348</v>
          </cell>
        </row>
        <row r="27">
          <cell r="C27">
            <v>0</v>
          </cell>
        </row>
        <row r="28">
          <cell r="C28">
            <v>40527.85</v>
          </cell>
        </row>
      </sheetData>
      <sheetData sheetId="49" refreshError="1">
        <row r="6">
          <cell r="B6">
            <v>0</v>
          </cell>
        </row>
        <row r="7">
          <cell r="B7">
            <v>29</v>
          </cell>
        </row>
        <row r="8">
          <cell r="B8">
            <v>15</v>
          </cell>
        </row>
        <row r="9">
          <cell r="B9">
            <v>28</v>
          </cell>
        </row>
        <row r="10">
          <cell r="B10">
            <v>12</v>
          </cell>
        </row>
        <row r="11">
          <cell r="B11">
            <v>0</v>
          </cell>
        </row>
        <row r="12">
          <cell r="B12">
            <v>22</v>
          </cell>
        </row>
        <row r="13">
          <cell r="B13">
            <v>0</v>
          </cell>
        </row>
        <row r="14">
          <cell r="B14">
            <v>0</v>
          </cell>
        </row>
        <row r="15">
          <cell r="B15">
            <v>0</v>
          </cell>
        </row>
        <row r="16">
          <cell r="B16">
            <v>0</v>
          </cell>
        </row>
        <row r="17">
          <cell r="B17">
            <v>0</v>
          </cell>
        </row>
        <row r="18">
          <cell r="B18">
            <v>0</v>
          </cell>
        </row>
        <row r="19">
          <cell r="B19">
            <v>106</v>
          </cell>
          <cell r="C19">
            <v>12688.839200918674</v>
          </cell>
        </row>
        <row r="21">
          <cell r="B21">
            <v>2</v>
          </cell>
        </row>
        <row r="22">
          <cell r="B22">
            <v>1</v>
          </cell>
        </row>
        <row r="23">
          <cell r="B23">
            <v>0</v>
          </cell>
        </row>
        <row r="24">
          <cell r="B24">
            <v>0</v>
          </cell>
        </row>
        <row r="25">
          <cell r="B25">
            <v>3</v>
          </cell>
          <cell r="C25">
            <v>193.73081710062718</v>
          </cell>
        </row>
        <row r="27">
          <cell r="C27">
            <v>0</v>
          </cell>
        </row>
        <row r="28">
          <cell r="C28">
            <v>12882.57</v>
          </cell>
        </row>
      </sheetData>
      <sheetData sheetId="50" refreshError="1">
        <row r="6">
          <cell r="B6">
            <v>0</v>
          </cell>
        </row>
        <row r="7">
          <cell r="B7">
            <v>0</v>
          </cell>
        </row>
        <row r="8">
          <cell r="B8">
            <v>13</v>
          </cell>
        </row>
        <row r="9">
          <cell r="B9">
            <v>49</v>
          </cell>
        </row>
        <row r="10">
          <cell r="B10">
            <v>43</v>
          </cell>
        </row>
        <row r="11">
          <cell r="B11">
            <v>41</v>
          </cell>
        </row>
        <row r="12">
          <cell r="B12">
            <v>30</v>
          </cell>
        </row>
        <row r="13">
          <cell r="B13">
            <v>0</v>
          </cell>
        </row>
        <row r="14">
          <cell r="B14">
            <v>0</v>
          </cell>
        </row>
        <row r="15">
          <cell r="B15">
            <v>0</v>
          </cell>
        </row>
        <row r="16">
          <cell r="B16">
            <v>0</v>
          </cell>
        </row>
        <row r="17">
          <cell r="B17">
            <v>0</v>
          </cell>
        </row>
        <row r="18">
          <cell r="B18">
            <v>0</v>
          </cell>
        </row>
        <row r="19">
          <cell r="B19">
            <v>176</v>
          </cell>
          <cell r="C19">
            <v>19140.181274204042</v>
          </cell>
        </row>
        <row r="21">
          <cell r="B21">
            <v>10</v>
          </cell>
        </row>
        <row r="22">
          <cell r="B22">
            <v>28</v>
          </cell>
        </row>
        <row r="23">
          <cell r="B23">
            <v>26</v>
          </cell>
        </row>
        <row r="24">
          <cell r="B24">
            <v>12</v>
          </cell>
        </row>
        <row r="25">
          <cell r="B25">
            <v>76</v>
          </cell>
          <cell r="C25">
            <v>9641.231133873398</v>
          </cell>
        </row>
        <row r="27">
          <cell r="C27">
            <v>0</v>
          </cell>
        </row>
        <row r="28">
          <cell r="C28">
            <v>28781.41</v>
          </cell>
        </row>
      </sheetData>
      <sheetData sheetId="51"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225</v>
          </cell>
        </row>
        <row r="18">
          <cell r="B18">
            <v>0</v>
          </cell>
        </row>
        <row r="19">
          <cell r="B19">
            <v>225</v>
          </cell>
          <cell r="C19">
            <v>27868.65442718038</v>
          </cell>
        </row>
        <row r="21">
          <cell r="B21">
            <v>0</v>
          </cell>
        </row>
        <row r="22">
          <cell r="B22">
            <v>0</v>
          </cell>
        </row>
        <row r="23">
          <cell r="B23">
            <v>0</v>
          </cell>
        </row>
        <row r="24">
          <cell r="B24">
            <v>225</v>
          </cell>
        </row>
        <row r="25">
          <cell r="B25">
            <v>225</v>
          </cell>
          <cell r="C25">
            <v>56356.612286075884</v>
          </cell>
        </row>
        <row r="27">
          <cell r="C27">
            <v>0</v>
          </cell>
        </row>
        <row r="28">
          <cell r="C28">
            <v>84225.27</v>
          </cell>
        </row>
      </sheetData>
      <sheetData sheetId="52" refreshError="1">
        <row r="6">
          <cell r="B6">
            <v>19</v>
          </cell>
        </row>
        <row r="7">
          <cell r="B7">
            <v>19</v>
          </cell>
        </row>
        <row r="8">
          <cell r="B8">
            <v>21</v>
          </cell>
        </row>
        <row r="9">
          <cell r="B9">
            <v>37</v>
          </cell>
        </row>
        <row r="10">
          <cell r="B10">
            <v>0</v>
          </cell>
        </row>
        <row r="11">
          <cell r="B11">
            <v>140</v>
          </cell>
        </row>
        <row r="12">
          <cell r="B12">
            <v>0</v>
          </cell>
        </row>
        <row r="13">
          <cell r="B13">
            <v>0</v>
          </cell>
        </row>
        <row r="14">
          <cell r="B14">
            <v>0</v>
          </cell>
        </row>
        <row r="15">
          <cell r="B15">
            <v>0</v>
          </cell>
        </row>
        <row r="16">
          <cell r="B16">
            <v>0</v>
          </cell>
        </row>
        <row r="17">
          <cell r="B17">
            <v>0</v>
          </cell>
        </row>
        <row r="18">
          <cell r="B18">
            <v>0</v>
          </cell>
        </row>
        <row r="19">
          <cell r="B19">
            <v>236</v>
          </cell>
          <cell r="C19">
            <v>26938.111322090484</v>
          </cell>
        </row>
        <row r="21">
          <cell r="B21">
            <v>2</v>
          </cell>
        </row>
        <row r="22">
          <cell r="B22">
            <v>1</v>
          </cell>
        </row>
        <row r="23">
          <cell r="B23">
            <v>0</v>
          </cell>
        </row>
        <row r="24">
          <cell r="B24">
            <v>0</v>
          </cell>
        </row>
        <row r="25">
          <cell r="B25">
            <v>3</v>
          </cell>
          <cell r="C25">
            <v>193.73081710062718</v>
          </cell>
        </row>
        <row r="27">
          <cell r="C27">
            <v>0</v>
          </cell>
        </row>
        <row r="28">
          <cell r="C28">
            <v>27131.84</v>
          </cell>
        </row>
      </sheetData>
      <sheetData sheetId="53" refreshError="1">
        <row r="6">
          <cell r="B6">
            <v>0</v>
          </cell>
        </row>
        <row r="7">
          <cell r="B7">
            <v>0</v>
          </cell>
        </row>
        <row r="8">
          <cell r="B8">
            <v>0</v>
          </cell>
        </row>
        <row r="9">
          <cell r="B9">
            <v>0</v>
          </cell>
        </row>
        <row r="10">
          <cell r="B10">
            <v>0</v>
          </cell>
        </row>
        <row r="11">
          <cell r="B11">
            <v>0</v>
          </cell>
        </row>
        <row r="12">
          <cell r="B12">
            <v>143</v>
          </cell>
        </row>
        <row r="13">
          <cell r="B13">
            <v>0</v>
          </cell>
        </row>
        <row r="14">
          <cell r="B14">
            <v>186</v>
          </cell>
        </row>
        <row r="15">
          <cell r="B15">
            <v>0</v>
          </cell>
        </row>
        <row r="16">
          <cell r="B16">
            <v>0</v>
          </cell>
        </row>
        <row r="17">
          <cell r="B17">
            <v>0</v>
          </cell>
        </row>
        <row r="18">
          <cell r="B18">
            <v>0</v>
          </cell>
        </row>
        <row r="19">
          <cell r="B19">
            <v>329</v>
          </cell>
          <cell r="C19">
            <v>38433.865108405844</v>
          </cell>
        </row>
        <row r="21">
          <cell r="B21">
            <v>1</v>
          </cell>
        </row>
        <row r="22">
          <cell r="B22">
            <v>22</v>
          </cell>
        </row>
        <row r="23">
          <cell r="B23">
            <v>14</v>
          </cell>
        </row>
        <row r="24">
          <cell r="B24">
            <v>0</v>
          </cell>
        </row>
        <row r="25">
          <cell r="B25">
            <v>37</v>
          </cell>
          <cell r="C25">
            <v>3910.6100457361572</v>
          </cell>
        </row>
        <row r="27">
          <cell r="C27">
            <v>0</v>
          </cell>
        </row>
        <row r="28">
          <cell r="C28">
            <v>42344.480000000003</v>
          </cell>
        </row>
      </sheetData>
      <sheetData sheetId="54" refreshError="1">
        <row r="6">
          <cell r="B6">
            <v>0</v>
          </cell>
        </row>
        <row r="7">
          <cell r="B7">
            <v>0</v>
          </cell>
        </row>
        <row r="8">
          <cell r="B8">
            <v>0</v>
          </cell>
        </row>
        <row r="9">
          <cell r="B9">
            <v>0</v>
          </cell>
        </row>
        <row r="10">
          <cell r="B10">
            <v>0</v>
          </cell>
        </row>
        <row r="11">
          <cell r="B11">
            <v>30</v>
          </cell>
        </row>
        <row r="12">
          <cell r="B12">
            <v>0</v>
          </cell>
        </row>
        <row r="13">
          <cell r="B13">
            <v>0</v>
          </cell>
        </row>
        <row r="14">
          <cell r="B14">
            <v>32</v>
          </cell>
        </row>
        <row r="15">
          <cell r="B15">
            <v>0</v>
          </cell>
        </row>
        <row r="16">
          <cell r="B16">
            <v>0</v>
          </cell>
        </row>
        <row r="17">
          <cell r="B17">
            <v>0</v>
          </cell>
        </row>
        <row r="18">
          <cell r="B18">
            <v>52</v>
          </cell>
        </row>
        <row r="19">
          <cell r="B19">
            <v>114</v>
          </cell>
          <cell r="C19">
            <v>11234.270115146752</v>
          </cell>
        </row>
        <row r="21">
          <cell r="B21">
            <v>0</v>
          </cell>
        </row>
        <row r="22">
          <cell r="B22">
            <v>1</v>
          </cell>
        </row>
        <row r="23">
          <cell r="B23">
            <v>3</v>
          </cell>
        </row>
        <row r="24">
          <cell r="B24">
            <v>1</v>
          </cell>
        </row>
        <row r="25">
          <cell r="B25">
            <v>5</v>
          </cell>
          <cell r="C25">
            <v>766.03070630608647</v>
          </cell>
        </row>
        <row r="27">
          <cell r="B27">
            <v>79</v>
          </cell>
          <cell r="C27">
            <v>3345.2971696064583</v>
          </cell>
        </row>
        <row r="28">
          <cell r="C28">
            <v>15345.6</v>
          </cell>
        </row>
      </sheetData>
      <sheetData sheetId="55" refreshError="1">
        <row r="6">
          <cell r="B6">
            <v>0</v>
          </cell>
        </row>
        <row r="7">
          <cell r="B7">
            <v>0</v>
          </cell>
        </row>
        <row r="8">
          <cell r="B8">
            <v>0</v>
          </cell>
        </row>
        <row r="9">
          <cell r="B9">
            <v>0</v>
          </cell>
        </row>
        <row r="10">
          <cell r="B10">
            <v>14</v>
          </cell>
        </row>
        <row r="11">
          <cell r="B11">
            <v>79</v>
          </cell>
        </row>
        <row r="12">
          <cell r="B12">
            <v>32</v>
          </cell>
        </row>
        <row r="13">
          <cell r="B13">
            <v>0</v>
          </cell>
        </row>
        <row r="14">
          <cell r="B14">
            <v>0</v>
          </cell>
        </row>
        <row r="15">
          <cell r="B15">
            <v>0</v>
          </cell>
        </row>
        <row r="16">
          <cell r="B16">
            <v>0</v>
          </cell>
        </row>
        <row r="17">
          <cell r="B17">
            <v>0</v>
          </cell>
        </row>
        <row r="18">
          <cell r="B18">
            <v>0</v>
          </cell>
        </row>
        <row r="19">
          <cell r="B19">
            <v>125</v>
          </cell>
          <cell r="C19">
            <v>13334.608591254098</v>
          </cell>
        </row>
        <row r="21">
          <cell r="B21">
            <v>1</v>
          </cell>
        </row>
        <row r="22">
          <cell r="B22">
            <v>4</v>
          </cell>
        </row>
        <row r="23">
          <cell r="B23">
            <v>1</v>
          </cell>
        </row>
        <row r="24">
          <cell r="B24">
            <v>0</v>
          </cell>
        </row>
        <row r="25">
          <cell r="B25">
            <v>6</v>
          </cell>
          <cell r="C25">
            <v>533.55372578533388</v>
          </cell>
        </row>
        <row r="27">
          <cell r="C27">
            <v>0</v>
          </cell>
        </row>
        <row r="28">
          <cell r="C28">
            <v>13868.16</v>
          </cell>
        </row>
      </sheetData>
      <sheetData sheetId="56" refreshError="1">
        <row r="6">
          <cell r="B6">
            <v>0</v>
          </cell>
        </row>
        <row r="7">
          <cell r="B7">
            <v>0</v>
          </cell>
        </row>
        <row r="8">
          <cell r="B8">
            <v>0</v>
          </cell>
        </row>
        <row r="9">
          <cell r="B9">
            <v>0</v>
          </cell>
        </row>
        <row r="10">
          <cell r="B10">
            <v>0</v>
          </cell>
        </row>
        <row r="11">
          <cell r="B11">
            <v>0</v>
          </cell>
        </row>
        <row r="12">
          <cell r="B12">
            <v>0</v>
          </cell>
        </row>
        <row r="13">
          <cell r="B13">
            <v>0</v>
          </cell>
        </row>
        <row r="14">
          <cell r="B14">
            <v>377</v>
          </cell>
        </row>
        <row r="15">
          <cell r="B15">
            <v>0</v>
          </cell>
        </row>
        <row r="16">
          <cell r="B16">
            <v>0</v>
          </cell>
        </row>
        <row r="17">
          <cell r="B17">
            <v>0</v>
          </cell>
        </row>
        <row r="18">
          <cell r="B18">
            <v>0</v>
          </cell>
        </row>
        <row r="19">
          <cell r="B19">
            <v>377</v>
          </cell>
          <cell r="C19">
            <v>46296.372095325831</v>
          </cell>
        </row>
        <row r="21">
          <cell r="B21">
            <v>15</v>
          </cell>
        </row>
        <row r="22">
          <cell r="B22">
            <v>15</v>
          </cell>
        </row>
        <row r="23">
          <cell r="B23">
            <v>11</v>
          </cell>
        </row>
        <row r="24">
          <cell r="B24">
            <v>1</v>
          </cell>
        </row>
        <row r="25">
          <cell r="B25">
            <v>42</v>
          </cell>
          <cell r="C25">
            <v>3914.4211437774811</v>
          </cell>
        </row>
        <row r="27">
          <cell r="C27">
            <v>0</v>
          </cell>
        </row>
        <row r="28">
          <cell r="C28">
            <v>50210.79</v>
          </cell>
        </row>
      </sheetData>
      <sheetData sheetId="57" refreshError="1">
        <row r="6">
          <cell r="B6">
            <v>0</v>
          </cell>
        </row>
        <row r="7">
          <cell r="B7">
            <v>32</v>
          </cell>
        </row>
        <row r="8">
          <cell r="B8">
            <v>36</v>
          </cell>
        </row>
        <row r="9">
          <cell r="B9">
            <v>98</v>
          </cell>
        </row>
        <row r="10">
          <cell r="B10">
            <v>46</v>
          </cell>
        </row>
        <row r="11">
          <cell r="B11">
            <v>66</v>
          </cell>
        </row>
        <row r="12">
          <cell r="B12">
            <v>82</v>
          </cell>
        </row>
        <row r="13">
          <cell r="B13">
            <v>0</v>
          </cell>
        </row>
        <row r="14">
          <cell r="B14">
            <v>0</v>
          </cell>
        </row>
        <row r="15">
          <cell r="B15">
            <v>0</v>
          </cell>
        </row>
        <row r="16">
          <cell r="B16">
            <v>0</v>
          </cell>
        </row>
        <row r="17">
          <cell r="B17">
            <v>0</v>
          </cell>
        </row>
        <row r="18">
          <cell r="B18">
            <v>0</v>
          </cell>
        </row>
        <row r="19">
          <cell r="B19">
            <v>360</v>
          </cell>
          <cell r="C19">
            <v>40531.027669478754</v>
          </cell>
        </row>
        <row r="21">
          <cell r="B21">
            <v>12</v>
          </cell>
        </row>
        <row r="22">
          <cell r="B22">
            <v>15</v>
          </cell>
        </row>
        <row r="23">
          <cell r="B23">
            <v>2</v>
          </cell>
        </row>
        <row r="24">
          <cell r="B24">
            <v>0</v>
          </cell>
        </row>
        <row r="25">
          <cell r="B25">
            <v>29</v>
          </cell>
          <cell r="C25">
            <v>2203.0263955541268</v>
          </cell>
        </row>
        <row r="27">
          <cell r="B27">
            <v>1</v>
          </cell>
          <cell r="C27">
            <v>42.345533792486812</v>
          </cell>
        </row>
        <row r="28">
          <cell r="C28">
            <v>42776.4</v>
          </cell>
        </row>
      </sheetData>
      <sheetData sheetId="58" refreshError="1">
        <row r="6">
          <cell r="B6">
            <v>16</v>
          </cell>
        </row>
        <row r="7">
          <cell r="B7">
            <v>41</v>
          </cell>
        </row>
        <row r="8">
          <cell r="B8">
            <v>50</v>
          </cell>
        </row>
        <row r="9">
          <cell r="B9">
            <v>142</v>
          </cell>
        </row>
        <row r="10">
          <cell r="B10">
            <v>71</v>
          </cell>
        </row>
        <row r="11">
          <cell r="B11">
            <v>45</v>
          </cell>
        </row>
        <row r="12">
          <cell r="B12">
            <v>47</v>
          </cell>
        </row>
        <row r="13">
          <cell r="B13">
            <v>0</v>
          </cell>
        </row>
        <row r="14">
          <cell r="B14">
            <v>0</v>
          </cell>
        </row>
        <row r="15">
          <cell r="B15">
            <v>0</v>
          </cell>
        </row>
        <row r="16">
          <cell r="B16">
            <v>0</v>
          </cell>
        </row>
        <row r="17">
          <cell r="B17">
            <v>0</v>
          </cell>
        </row>
        <row r="18">
          <cell r="B18">
            <v>0</v>
          </cell>
        </row>
        <row r="19">
          <cell r="B19">
            <v>412</v>
          </cell>
          <cell r="C19">
            <v>47231.149753794976</v>
          </cell>
        </row>
        <row r="21">
          <cell r="B21">
            <v>35</v>
          </cell>
        </row>
        <row r="22">
          <cell r="B22">
            <v>7</v>
          </cell>
        </row>
        <row r="23">
          <cell r="B23">
            <v>1</v>
          </cell>
        </row>
        <row r="24">
          <cell r="B24">
            <v>4</v>
          </cell>
        </row>
        <row r="25">
          <cell r="B25">
            <v>47</v>
          </cell>
          <cell r="C25">
            <v>3658.0189366639734</v>
          </cell>
        </row>
        <row r="27">
          <cell r="B27">
            <v>1</v>
          </cell>
          <cell r="C27">
            <v>42.345533792486812</v>
          </cell>
        </row>
        <row r="28">
          <cell r="C28">
            <v>50931.51</v>
          </cell>
        </row>
      </sheetData>
      <sheetData sheetId="59" refreshError="1">
        <row r="6">
          <cell r="B6">
            <v>0</v>
          </cell>
        </row>
        <row r="7">
          <cell r="B7">
            <v>0</v>
          </cell>
        </row>
        <row r="8">
          <cell r="B8">
            <v>0</v>
          </cell>
        </row>
        <row r="9">
          <cell r="B9">
            <v>0</v>
          </cell>
        </row>
        <row r="10">
          <cell r="B10">
            <v>51</v>
          </cell>
        </row>
        <row r="11">
          <cell r="B11">
            <v>90</v>
          </cell>
        </row>
        <row r="12">
          <cell r="B12">
            <v>238</v>
          </cell>
        </row>
        <row r="13">
          <cell r="B13">
            <v>0</v>
          </cell>
        </row>
        <row r="14">
          <cell r="B14">
            <v>60</v>
          </cell>
        </row>
        <row r="15">
          <cell r="B15">
            <v>0</v>
          </cell>
        </row>
        <row r="16">
          <cell r="B16">
            <v>0</v>
          </cell>
        </row>
        <row r="17">
          <cell r="B17">
            <v>0</v>
          </cell>
        </row>
        <row r="18">
          <cell r="B18">
            <v>0</v>
          </cell>
        </row>
        <row r="19">
          <cell r="B19">
            <v>439</v>
          </cell>
          <cell r="C19">
            <v>48246.383926469847</v>
          </cell>
        </row>
        <row r="21">
          <cell r="B21">
            <v>9</v>
          </cell>
        </row>
        <row r="22">
          <cell r="B22">
            <v>3</v>
          </cell>
        </row>
        <row r="23">
          <cell r="B23">
            <v>0</v>
          </cell>
        </row>
        <row r="24">
          <cell r="B24">
            <v>0</v>
          </cell>
        </row>
        <row r="25">
          <cell r="B25">
            <v>12</v>
          </cell>
          <cell r="C25">
            <v>746.34003309258014</v>
          </cell>
        </row>
        <row r="27">
          <cell r="B27">
            <v>10</v>
          </cell>
          <cell r="C27">
            <v>423.4553379248681</v>
          </cell>
        </row>
        <row r="28">
          <cell r="C28">
            <v>49416.18</v>
          </cell>
        </row>
      </sheetData>
      <sheetData sheetId="60" refreshError="1">
        <row r="6">
          <cell r="B6">
            <v>0</v>
          </cell>
        </row>
        <row r="7">
          <cell r="B7">
            <v>0</v>
          </cell>
        </row>
        <row r="8">
          <cell r="B8">
            <v>0</v>
          </cell>
        </row>
        <row r="9">
          <cell r="B9">
            <v>0</v>
          </cell>
        </row>
        <row r="10">
          <cell r="B10">
            <v>0</v>
          </cell>
        </row>
        <row r="11">
          <cell r="B11">
            <v>0</v>
          </cell>
        </row>
        <row r="12">
          <cell r="B12">
            <v>0</v>
          </cell>
        </row>
        <row r="13">
          <cell r="B13">
            <v>0</v>
          </cell>
        </row>
        <row r="14">
          <cell r="B14">
            <v>349</v>
          </cell>
        </row>
        <row r="15">
          <cell r="B15">
            <v>0</v>
          </cell>
        </row>
        <row r="16">
          <cell r="B16">
            <v>0</v>
          </cell>
        </row>
        <row r="17">
          <cell r="B17">
            <v>0</v>
          </cell>
        </row>
        <row r="18">
          <cell r="B18">
            <v>0</v>
          </cell>
        </row>
        <row r="19">
          <cell r="B19">
            <v>349</v>
          </cell>
          <cell r="C19">
            <v>42857.914751375902</v>
          </cell>
        </row>
        <row r="21">
          <cell r="B21">
            <v>1</v>
          </cell>
        </row>
        <row r="22">
          <cell r="B22">
            <v>8</v>
          </cell>
        </row>
        <row r="23">
          <cell r="B23">
            <v>21</v>
          </cell>
        </row>
        <row r="24">
          <cell r="B24">
            <v>0</v>
          </cell>
        </row>
        <row r="25">
          <cell r="B25">
            <v>30</v>
          </cell>
          <cell r="C25">
            <v>3747.579740635083</v>
          </cell>
        </row>
        <row r="27">
          <cell r="B27">
            <v>1</v>
          </cell>
          <cell r="C27">
            <v>42.345533792486812</v>
          </cell>
        </row>
        <row r="28">
          <cell r="C28">
            <v>46647.839999999997</v>
          </cell>
        </row>
      </sheetData>
      <sheetData sheetId="61" refreshError="1">
        <row r="6">
          <cell r="B6">
            <v>0</v>
          </cell>
        </row>
        <row r="7">
          <cell r="B7">
            <v>64</v>
          </cell>
        </row>
        <row r="8">
          <cell r="B8">
            <v>34</v>
          </cell>
        </row>
        <row r="9">
          <cell r="B9">
            <v>32</v>
          </cell>
        </row>
        <row r="10">
          <cell r="B10">
            <v>0</v>
          </cell>
        </row>
        <row r="11">
          <cell r="B11">
            <v>70</v>
          </cell>
        </row>
        <row r="12">
          <cell r="B12">
            <v>0</v>
          </cell>
        </row>
        <row r="13">
          <cell r="B13">
            <v>0</v>
          </cell>
        </row>
        <row r="14">
          <cell r="B14">
            <v>0</v>
          </cell>
        </row>
        <row r="15">
          <cell r="B15">
            <v>0</v>
          </cell>
        </row>
        <row r="16">
          <cell r="B16">
            <v>0</v>
          </cell>
        </row>
        <row r="17">
          <cell r="B17">
            <v>0</v>
          </cell>
        </row>
        <row r="18">
          <cell r="B18">
            <v>0</v>
          </cell>
        </row>
        <row r="19">
          <cell r="B19">
            <v>200</v>
          </cell>
          <cell r="C19">
            <v>24285.163629991184</v>
          </cell>
        </row>
        <row r="21">
          <cell r="B21">
            <v>4</v>
          </cell>
        </row>
        <row r="22">
          <cell r="B22">
            <v>2</v>
          </cell>
        </row>
        <row r="23">
          <cell r="B23">
            <v>0</v>
          </cell>
        </row>
        <row r="24">
          <cell r="B24">
            <v>0</v>
          </cell>
        </row>
        <row r="25">
          <cell r="B25">
            <v>6</v>
          </cell>
          <cell r="C25">
            <v>387.46163420125436</v>
          </cell>
        </row>
        <row r="27">
          <cell r="B27">
            <v>21</v>
          </cell>
          <cell r="C27">
            <v>889.2562096422231</v>
          </cell>
        </row>
        <row r="28">
          <cell r="C28">
            <v>25561.88</v>
          </cell>
        </row>
      </sheetData>
      <sheetData sheetId="62" refreshError="1">
        <row r="6">
          <cell r="B6">
            <v>16</v>
          </cell>
        </row>
        <row r="7">
          <cell r="B7">
            <v>54</v>
          </cell>
        </row>
        <row r="8">
          <cell r="B8">
            <v>63</v>
          </cell>
        </row>
        <row r="9">
          <cell r="B9">
            <v>174</v>
          </cell>
        </row>
        <row r="10">
          <cell r="B10">
            <v>84</v>
          </cell>
        </row>
        <row r="11">
          <cell r="B11">
            <v>166</v>
          </cell>
        </row>
        <row r="12">
          <cell r="B12">
            <v>136</v>
          </cell>
        </row>
        <row r="13">
          <cell r="B13">
            <v>0</v>
          </cell>
        </row>
        <row r="14">
          <cell r="B14">
            <v>97</v>
          </cell>
        </row>
        <row r="15">
          <cell r="B15">
            <v>0</v>
          </cell>
        </row>
        <row r="16">
          <cell r="B16">
            <v>0</v>
          </cell>
        </row>
        <row r="17">
          <cell r="B17">
            <v>0</v>
          </cell>
        </row>
        <row r="18">
          <cell r="B18">
            <v>0</v>
          </cell>
        </row>
        <row r="19">
          <cell r="B19">
            <v>790</v>
          </cell>
          <cell r="C19">
            <v>89999.080245861842</v>
          </cell>
        </row>
        <row r="21">
          <cell r="B21">
            <v>12</v>
          </cell>
        </row>
        <row r="22">
          <cell r="B22">
            <v>19</v>
          </cell>
        </row>
        <row r="23">
          <cell r="B23">
            <v>1</v>
          </cell>
        </row>
        <row r="24">
          <cell r="B24">
            <v>2</v>
          </cell>
        </row>
        <row r="25">
          <cell r="B25">
            <v>34</v>
          </cell>
          <cell r="C25">
            <v>2894.528962385436</v>
          </cell>
        </row>
        <row r="27">
          <cell r="B27">
            <v>8</v>
          </cell>
          <cell r="C27">
            <v>338.76427033989449</v>
          </cell>
        </row>
        <row r="28">
          <cell r="C28">
            <v>93232.37</v>
          </cell>
        </row>
      </sheetData>
      <sheetData sheetId="63" refreshError="1">
        <row r="6">
          <cell r="B6">
            <v>0</v>
          </cell>
        </row>
        <row r="7">
          <cell r="B7">
            <v>0</v>
          </cell>
        </row>
        <row r="8">
          <cell r="B8">
            <v>0</v>
          </cell>
        </row>
        <row r="9">
          <cell r="B9">
            <v>0</v>
          </cell>
        </row>
        <row r="10">
          <cell r="B10">
            <v>0</v>
          </cell>
        </row>
        <row r="11">
          <cell r="B11">
            <v>0</v>
          </cell>
        </row>
        <row r="12">
          <cell r="B12">
            <v>0</v>
          </cell>
        </row>
        <row r="13">
          <cell r="B13">
            <v>0</v>
          </cell>
        </row>
        <row r="14">
          <cell r="B14">
            <v>320</v>
          </cell>
        </row>
        <row r="15">
          <cell r="B15">
            <v>0</v>
          </cell>
        </row>
        <row r="16">
          <cell r="B16">
            <v>0</v>
          </cell>
        </row>
        <row r="17">
          <cell r="B17">
            <v>0</v>
          </cell>
        </row>
        <row r="18">
          <cell r="B18">
            <v>0</v>
          </cell>
        </row>
        <row r="19">
          <cell r="B19">
            <v>320</v>
          </cell>
          <cell r="C19">
            <v>39296.655359427758</v>
          </cell>
        </row>
        <row r="21">
          <cell r="B21">
            <v>7</v>
          </cell>
        </row>
        <row r="22">
          <cell r="B22">
            <v>27</v>
          </cell>
        </row>
        <row r="23">
          <cell r="B23">
            <v>8</v>
          </cell>
        </row>
        <row r="24">
          <cell r="B24">
            <v>5</v>
          </cell>
        </row>
        <row r="25">
          <cell r="B25">
            <v>47</v>
          </cell>
          <cell r="C25">
            <v>5047.5876280644279</v>
          </cell>
        </row>
        <row r="27">
          <cell r="C27">
            <v>0</v>
          </cell>
        </row>
        <row r="28">
          <cell r="C28">
            <v>44344.24</v>
          </cell>
        </row>
      </sheetData>
      <sheetData sheetId="64" refreshError="1">
        <row r="6">
          <cell r="B6">
            <v>1519</v>
          </cell>
        </row>
        <row r="7">
          <cell r="B7">
            <v>2491</v>
          </cell>
        </row>
        <row r="8">
          <cell r="B8">
            <v>3334</v>
          </cell>
        </row>
        <row r="9">
          <cell r="B9">
            <v>10597</v>
          </cell>
        </row>
        <row r="10">
          <cell r="B10">
            <v>6301</v>
          </cell>
        </row>
        <row r="12">
          <cell r="B12">
            <v>6970</v>
          </cell>
        </row>
        <row r="13">
          <cell r="B13">
            <v>0</v>
          </cell>
        </row>
        <row r="14">
          <cell r="B14">
            <v>11838</v>
          </cell>
        </row>
        <row r="15">
          <cell r="B15">
            <v>38</v>
          </cell>
        </row>
        <row r="16">
          <cell r="B16">
            <v>141</v>
          </cell>
        </row>
        <row r="17">
          <cell r="B17">
            <v>457</v>
          </cell>
        </row>
        <row r="18">
          <cell r="B18">
            <v>995</v>
          </cell>
        </row>
        <row r="19">
          <cell r="B19">
            <v>44681</v>
          </cell>
          <cell r="C19">
            <v>5177496.3152713645</v>
          </cell>
        </row>
        <row r="21">
          <cell r="B21">
            <v>1325</v>
          </cell>
        </row>
        <row r="22">
          <cell r="B22">
            <v>2094</v>
          </cell>
        </row>
        <row r="23">
          <cell r="B23">
            <v>694</v>
          </cell>
        </row>
        <row r="24">
          <cell r="B24">
            <v>1648</v>
          </cell>
        </row>
        <row r="25">
          <cell r="B25">
            <v>5761</v>
          </cell>
          <cell r="C25">
            <v>760765.88608966651</v>
          </cell>
        </row>
        <row r="27">
          <cell r="B27">
            <v>4273</v>
          </cell>
          <cell r="C27">
            <v>180942.46589529613</v>
          </cell>
        </row>
        <row r="28">
          <cell r="C28">
            <v>6119204.6699999999</v>
          </cell>
        </row>
      </sheetData>
      <sheetData sheetId="65" refreshError="1">
        <row r="6">
          <cell r="B6">
            <v>0</v>
          </cell>
        </row>
        <row r="7">
          <cell r="B7">
            <v>0</v>
          </cell>
        </row>
        <row r="8">
          <cell r="B8">
            <v>0</v>
          </cell>
        </row>
        <row r="9">
          <cell r="B9">
            <v>0</v>
          </cell>
        </row>
        <row r="10">
          <cell r="B10">
            <v>0</v>
          </cell>
        </row>
        <row r="11">
          <cell r="B11">
            <v>125</v>
          </cell>
        </row>
        <row r="12">
          <cell r="B12">
            <v>0</v>
          </cell>
        </row>
        <row r="13">
          <cell r="B13">
            <v>0</v>
          </cell>
        </row>
        <row r="14">
          <cell r="B14">
            <v>0</v>
          </cell>
        </row>
        <row r="15">
          <cell r="B15">
            <v>0</v>
          </cell>
        </row>
        <row r="16">
          <cell r="B16">
            <v>0</v>
          </cell>
        </row>
        <row r="17">
          <cell r="B17">
            <v>0</v>
          </cell>
        </row>
        <row r="18">
          <cell r="B18">
            <v>0</v>
          </cell>
        </row>
        <row r="19">
          <cell r="B19">
            <v>125</v>
          </cell>
          <cell r="C19">
            <v>13232.979310152128</v>
          </cell>
        </row>
        <row r="25">
          <cell r="B25">
            <v>0</v>
          </cell>
          <cell r="C25">
            <v>0</v>
          </cell>
        </row>
        <row r="27">
          <cell r="C27">
            <v>0</v>
          </cell>
        </row>
        <row r="28">
          <cell r="C28">
            <v>13232.98</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3(a) Application"/>
      <sheetName val="OSSE Only"/>
    </sheetNames>
    <sheetDataSet>
      <sheetData sheetId="0"/>
      <sheetData sheetId="1">
        <row r="12">
          <cell r="A12" t="str">
            <v>Elementary</v>
          </cell>
        </row>
        <row r="13">
          <cell r="A13" t="str">
            <v>Secondary</v>
          </cell>
        </row>
        <row r="15">
          <cell r="A15" t="str">
            <v>School Improvement 1</v>
          </cell>
        </row>
        <row r="16">
          <cell r="A16" t="str">
            <v>School Improvement 2</v>
          </cell>
        </row>
        <row r="17">
          <cell r="A17" t="str">
            <v>Corrective Action</v>
          </cell>
        </row>
        <row r="18">
          <cell r="A18" t="str">
            <v>Restructuring 1</v>
          </cell>
        </row>
        <row r="19">
          <cell r="A19" t="str">
            <v>Restructuring 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Procedure"/>
      <sheetName val="Review Form"/>
      <sheetName val="Reference"/>
    </sheetNames>
    <sheetDataSet>
      <sheetData sheetId="0"/>
      <sheetData sheetId="1"/>
      <sheetData sheetId="2">
        <row r="2">
          <cell r="A2" t="str">
            <v>Yes</v>
          </cell>
        </row>
        <row r="3">
          <cell r="A3" t="str">
            <v>No</v>
          </cell>
        </row>
        <row r="4">
          <cell r="A4" t="str">
            <v>N/A</v>
          </cell>
        </row>
        <row r="7">
          <cell r="A7" t="str">
            <v>Robin Bessler</v>
          </cell>
        </row>
        <row r="8">
          <cell r="A8" t="str">
            <v>Myles Cliff</v>
          </cell>
        </row>
        <row r="9">
          <cell r="A9" t="str">
            <v>Natalie Mitchell</v>
          </cell>
        </row>
        <row r="10">
          <cell r="A10" t="str">
            <v>Bridgette Royster</v>
          </cell>
        </row>
        <row r="11">
          <cell r="A11" t="str">
            <v>Jeremy Skinner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Form"/>
      <sheetName val="Sheet1"/>
    </sheetNames>
    <sheetDataSet>
      <sheetData sheetId="0"/>
      <sheetData sheetId="1">
        <row r="1">
          <cell r="A1" t="str">
            <v>Chair of the Board of Directors</v>
          </cell>
        </row>
        <row r="2">
          <cell r="A2" t="str">
            <v>Executive Director</v>
          </cell>
        </row>
        <row r="9">
          <cell r="A9" t="str">
            <v>Yes (provide full details in narrative form on the next line)</v>
          </cell>
        </row>
        <row r="10">
          <cell r="A10"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OSSE Only"/>
      <sheetName val="Allo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
          <cell r="A3" t="str">
            <v>Yes</v>
          </cell>
        </row>
        <row r="4">
          <cell r="A4" t="str">
            <v>No</v>
          </cell>
        </row>
        <row r="6">
          <cell r="A6" t="str">
            <v>X</v>
          </cell>
        </row>
      </sheetData>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ow r="13">
          <cell r="L13" t="str">
            <v>Yes</v>
          </cell>
        </row>
        <row r="14">
          <cell r="L14" t="str">
            <v>No</v>
          </cell>
        </row>
      </sheetData>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6">
          <cell r="A6" t="str">
            <v>X</v>
          </cell>
        </row>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Sheet1"/>
      <sheetName val="Validation"/>
    </sheetNames>
    <sheetDataSet>
      <sheetData sheetId="0" refreshError="1"/>
      <sheetData sheetId="1">
        <row r="28">
          <cell r="B28">
            <v>184237.42</v>
          </cell>
        </row>
        <row r="62">
          <cell r="A62" t="str">
            <v>X</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9">
          <cell r="C9" t="str">
            <v>NON SETASIDE</v>
          </cell>
        </row>
        <row r="10">
          <cell r="C10" t="str">
            <v>Parent Involvement</v>
          </cell>
        </row>
        <row r="11">
          <cell r="C11" t="str">
            <v>Highly-Qualified</v>
          </cell>
        </row>
        <row r="12">
          <cell r="C12" t="str">
            <v>Supp. Ed. Services</v>
          </cell>
        </row>
        <row r="13">
          <cell r="C13" t="str">
            <v>Prof. Development</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11" refreshError="1"/>
      <sheetData sheetId="12" refreshError="1"/>
      <sheetData sheetId="13" refreshError="1"/>
      <sheetData sheetId="14">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5" refreshError="1"/>
      <sheetData sheetId="16" refreshError="1"/>
      <sheetData sheetId="17" refreshError="1"/>
      <sheetData sheetId="18">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19" refreshError="1"/>
      <sheetData sheetId="20" refreshError="1"/>
      <sheetData sheetId="21">
        <row r="1">
          <cell r="A1" t="str">
            <v>Chairperson of the Board of Directors</v>
          </cell>
          <cell r="E1" t="str">
            <v>Academy for Learning Through the Arts (ALTA) Public Charter School</v>
          </cell>
        </row>
        <row r="2">
          <cell r="A2" t="str">
            <v>Chancellor</v>
          </cell>
          <cell r="E2" t="str">
            <v>Achievement Preparatory Academy Public Charter School</v>
          </cell>
        </row>
        <row r="3">
          <cell r="E3" t="str">
            <v>AppleTree Early Learning Public Charter School</v>
          </cell>
        </row>
        <row r="4">
          <cell r="A4" t="str">
            <v>X</v>
          </cell>
          <cell r="E4" t="str">
            <v>Arts and Technology Public Charter School</v>
          </cell>
        </row>
        <row r="5">
          <cell r="E5" t="str">
            <v>Booker T. Washington Public Charter School</v>
          </cell>
        </row>
        <row r="6">
          <cell r="A6" t="str">
            <v>Instruction</v>
          </cell>
          <cell r="E6" t="str">
            <v>Bridges Public Charter School</v>
          </cell>
        </row>
        <row r="7">
          <cell r="A7" t="str">
            <v>Support Services</v>
          </cell>
          <cell r="E7" t="str">
            <v>Capital City Public Charter School</v>
          </cell>
        </row>
        <row r="8">
          <cell r="A8" t="str">
            <v>Administration</v>
          </cell>
          <cell r="E8" t="str">
            <v>Carlos Rosario Public Charter School</v>
          </cell>
        </row>
        <row r="9">
          <cell r="A9" t="str">
            <v>Operations &amp; Maintenance</v>
          </cell>
          <cell r="E9" t="str">
            <v>Center City Public Charter School</v>
          </cell>
        </row>
        <row r="10">
          <cell r="A10" t="str">
            <v>Student Transportation</v>
          </cell>
          <cell r="E10" t="str">
            <v>Cesar Chavez Public Charter School</v>
          </cell>
        </row>
        <row r="11">
          <cell r="A11" t="str">
            <v>Other</v>
          </cell>
          <cell r="E11" t="str">
            <v>Children's Studio Public Charter School</v>
          </cell>
        </row>
        <row r="12">
          <cell r="E12" t="str">
            <v>City Collegiate Public Charter School</v>
          </cell>
        </row>
        <row r="13">
          <cell r="A13" t="str">
            <v>Yes</v>
          </cell>
          <cell r="E13" t="str">
            <v>Community Academy Public Charter School</v>
          </cell>
        </row>
        <row r="14">
          <cell r="A14" t="str">
            <v>No</v>
          </cell>
          <cell r="E14" t="str">
            <v>DC Bilingual Public Charter School</v>
          </cell>
        </row>
        <row r="15">
          <cell r="E15" t="str">
            <v>DC Preparatory Public Charter School</v>
          </cell>
        </row>
        <row r="16">
          <cell r="E16" t="str">
            <v>District of Columbia Public Schools (DCPS)</v>
          </cell>
        </row>
        <row r="17">
          <cell r="E17" t="str">
            <v>E.L. Haynes Public Charter School</v>
          </cell>
        </row>
        <row r="18">
          <cell r="E18" t="str">
            <v>Eagle Academy Public Charter School</v>
          </cell>
        </row>
        <row r="19">
          <cell r="E19" t="str">
            <v>Early Childhood Academy Public Charter School</v>
          </cell>
        </row>
        <row r="20">
          <cell r="E20" t="str">
            <v>Education Strengthens Families (ESF) Public Charter School</v>
          </cell>
        </row>
        <row r="21">
          <cell r="E21" t="str">
            <v>Elsie Whitlow Stokes Public Charter School</v>
          </cell>
        </row>
        <row r="22">
          <cell r="E22" t="str">
            <v>Excel Academy Public Charter School</v>
          </cell>
        </row>
        <row r="23">
          <cell r="E23" t="str">
            <v>Friendship Public Charter School</v>
          </cell>
        </row>
        <row r="24">
          <cell r="E24" t="str">
            <v>Hope Community Public Charter School</v>
          </cell>
        </row>
        <row r="25">
          <cell r="E25" t="str">
            <v>Hospitality Public Charter School</v>
          </cell>
        </row>
        <row r="26">
          <cell r="E26" t="str">
            <v>Howard Road Academy Public Charter School</v>
          </cell>
        </row>
        <row r="27">
          <cell r="E27" t="str">
            <v>Howard University Middle School for Math &amp; Science Public Charter School</v>
          </cell>
        </row>
        <row r="28">
          <cell r="E28" t="str">
            <v>Hyde Leadership Academy Public Charter School</v>
          </cell>
        </row>
        <row r="29">
          <cell r="E29" t="str">
            <v>Ideal Academy Public Charter School</v>
          </cell>
        </row>
        <row r="30">
          <cell r="E30" t="str">
            <v>Imagine Southeast Public Charter School</v>
          </cell>
        </row>
        <row r="31">
          <cell r="E31" t="str">
            <v>Inspired Teaching Demonstration Public Charter School</v>
          </cell>
        </row>
        <row r="32">
          <cell r="E32" t="str">
            <v>Integrated Design &amp; Electronics Academy (IDEA) Public Charter School</v>
          </cell>
        </row>
        <row r="33">
          <cell r="E33" t="str">
            <v>Kamit Institute for Magnificent  Achievers Public Charter School</v>
          </cell>
        </row>
        <row r="34">
          <cell r="E34" t="str">
            <v>KIPP DC Public Charter School</v>
          </cell>
        </row>
        <row r="35">
          <cell r="E35" t="str">
            <v>Latin American Montesori Bilingual (LAMB) Public Charter School</v>
          </cell>
        </row>
        <row r="36">
          <cell r="E36" t="str">
            <v>LAYC YouthBuild Public Charter School</v>
          </cell>
        </row>
        <row r="37">
          <cell r="E37" t="str">
            <v>Mary McLeod Bethune Public Charter School</v>
          </cell>
        </row>
        <row r="38">
          <cell r="E38" t="str">
            <v>Maya Angelou Public Charter School</v>
          </cell>
        </row>
        <row r="39">
          <cell r="E39" t="str">
            <v>Meridian Public Charter School</v>
          </cell>
        </row>
        <row r="40">
          <cell r="E40" t="str">
            <v>Mundo Verde Bilingual Public Charter School</v>
          </cell>
        </row>
        <row r="41">
          <cell r="E41" t="str">
            <v>National Collegiate Preparatory Public Charter School</v>
          </cell>
        </row>
        <row r="42">
          <cell r="E42" t="str">
            <v>Next Step Public Charter School</v>
          </cell>
        </row>
        <row r="43">
          <cell r="E43" t="str">
            <v>Nia Community Public Charter School</v>
          </cell>
        </row>
        <row r="44">
          <cell r="E44" t="str">
            <v>Options Public Charter School</v>
          </cell>
        </row>
        <row r="45">
          <cell r="E45" t="str">
            <v>Paul Public Charter School</v>
          </cell>
        </row>
        <row r="46">
          <cell r="E46" t="str">
            <v>Potomac Lighthouse Public Charter School</v>
          </cell>
        </row>
        <row r="47">
          <cell r="E47" t="str">
            <v>Richard Wright Public Charter School</v>
          </cell>
        </row>
        <row r="48">
          <cell r="E48" t="str">
            <v>Roots Public Charter School</v>
          </cell>
        </row>
        <row r="49">
          <cell r="E49" t="str">
            <v>School for Arts in Learning (SAIL) Public Charter School</v>
          </cell>
        </row>
        <row r="50">
          <cell r="E50" t="str">
            <v>SEED Public Charter School</v>
          </cell>
        </row>
        <row r="51">
          <cell r="E51" t="str">
            <v>Septima Clark Public Charter School</v>
          </cell>
        </row>
        <row r="52">
          <cell r="E52" t="str">
            <v>Shining Stars Montessori Public Charter School</v>
          </cell>
        </row>
        <row r="53">
          <cell r="E53" t="str">
            <v>St. Coletta Public Charter School</v>
          </cell>
        </row>
        <row r="54">
          <cell r="E54" t="str">
            <v>Thea Bowman Public Charter School</v>
          </cell>
        </row>
        <row r="55">
          <cell r="E55" t="str">
            <v>Thurgood Marshall Academy Public Charter School</v>
          </cell>
        </row>
        <row r="56">
          <cell r="E56" t="str">
            <v>Tree of Life Public Charter School</v>
          </cell>
        </row>
        <row r="57">
          <cell r="E57" t="str">
            <v>Two Rivers Public Charter School</v>
          </cell>
        </row>
        <row r="58">
          <cell r="E58" t="str">
            <v>Washington Latin Public Charter School</v>
          </cell>
        </row>
        <row r="59">
          <cell r="E59" t="str">
            <v>Washington Math Science &amp; Technology Public Charter School</v>
          </cell>
        </row>
        <row r="60">
          <cell r="E60" t="str">
            <v>Washington Yu Ying Public Charter School</v>
          </cell>
        </row>
        <row r="61">
          <cell r="E61" t="str">
            <v>William E. Doar Jr. Public Charter School</v>
          </cell>
        </row>
        <row r="62">
          <cell r="E62" t="str">
            <v>Young America Works Public Charter School</v>
          </cell>
        </row>
      </sheetData>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Validation"/>
      <sheetName val="OSSE Only"/>
    </sheetNames>
    <sheetDataSet>
      <sheetData sheetId="0"/>
      <sheetData sheetId="1">
        <row r="13">
          <cell r="L13" t="str">
            <v>Yes</v>
          </cell>
        </row>
        <row r="14">
          <cell r="L14" t="str">
            <v>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
          <cell r="A6" t="str">
            <v>X</v>
          </cell>
        </row>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Sheet1"/>
      <sheetName val="Instructions"/>
      <sheetName val="Validation"/>
    </sheetNames>
    <sheetDataSet>
      <sheetData sheetId="0"/>
      <sheetData sheetId="1">
        <row r="62">
          <cell r="A62" t="str">
            <v>X</v>
          </cell>
        </row>
      </sheetData>
      <sheetData sheetId="2"/>
      <sheetData sheetId="3"/>
      <sheetData sheetId="4"/>
      <sheetData sheetId="5"/>
      <sheetData sheetId="6"/>
      <sheetData sheetId="7"/>
      <sheetData sheetId="8"/>
      <sheetData sheetId="9"/>
      <sheetData sheetId="10">
        <row r="9">
          <cell r="C9" t="str">
            <v xml:space="preserve">NON SET-ASIDE  </v>
          </cell>
        </row>
        <row r="10">
          <cell r="C10" t="str">
            <v>Parent Involvement</v>
          </cell>
        </row>
        <row r="11">
          <cell r="C11" t="str">
            <v>Highly-Qualified</v>
          </cell>
        </row>
        <row r="12">
          <cell r="C12" t="str">
            <v>Supp. Ed. Services</v>
          </cell>
        </row>
        <row r="13">
          <cell r="C13" t="str">
            <v>Prof. Development</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11"/>
      <sheetData sheetId="12"/>
      <sheetData sheetId="13"/>
      <sheetData sheetId="14">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5"/>
      <sheetData sheetId="16"/>
      <sheetData sheetId="17"/>
      <sheetData sheetId="18">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19"/>
      <sheetData sheetId="20"/>
      <sheetData sheetId="21">
        <row r="6">
          <cell r="A6" t="str">
            <v>Instruction</v>
          </cell>
        </row>
        <row r="7">
          <cell r="A7" t="str">
            <v>Support Services</v>
          </cell>
        </row>
        <row r="8">
          <cell r="A8" t="str">
            <v>Administration</v>
          </cell>
        </row>
        <row r="9">
          <cell r="A9" t="str">
            <v>Operations &amp; Maintenance</v>
          </cell>
        </row>
        <row r="10">
          <cell r="A10" t="str">
            <v>Student Transportation</v>
          </cell>
        </row>
        <row r="11">
          <cell r="A11" t="str">
            <v>Other</v>
          </cell>
        </row>
        <row r="13">
          <cell r="A13" t="str">
            <v>Yes</v>
          </cell>
        </row>
        <row r="14">
          <cell r="A14" t="str">
            <v>No</v>
          </cell>
        </row>
      </sheetData>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Sheet1"/>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X</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40"/>
  <sheetViews>
    <sheetView topLeftCell="A28" zoomScale="80" zoomScaleNormal="80" zoomScalePageLayoutView="90" workbookViewId="0">
      <selection activeCell="S7" sqref="S7"/>
    </sheetView>
  </sheetViews>
  <sheetFormatPr defaultColWidth="9.140625" defaultRowHeight="12.75" x14ac:dyDescent="0.2"/>
  <cols>
    <col min="1" max="10" width="15.7109375" style="2" customWidth="1"/>
    <col min="11" max="51" width="4.7109375" style="2" customWidth="1"/>
    <col min="52" max="16384" width="9.140625" style="2"/>
  </cols>
  <sheetData>
    <row r="1" spans="1:10" ht="66.75" customHeight="1" x14ac:dyDescent="0.2">
      <c r="A1" s="218"/>
      <c r="B1" s="218"/>
      <c r="C1" s="218"/>
      <c r="D1" s="218"/>
      <c r="E1" s="218"/>
      <c r="F1" s="218"/>
      <c r="G1" s="218"/>
      <c r="H1" s="218"/>
      <c r="I1" s="218"/>
      <c r="J1" s="218"/>
    </row>
    <row r="2" spans="1:10" ht="15" customHeight="1" thickBot="1" x14ac:dyDescent="0.25">
      <c r="A2" s="219"/>
      <c r="B2" s="219"/>
      <c r="C2" s="219"/>
      <c r="D2" s="219"/>
      <c r="E2" s="219"/>
      <c r="F2" s="219"/>
      <c r="G2" s="219"/>
      <c r="H2" s="219"/>
      <c r="I2" s="219"/>
      <c r="J2" s="219"/>
    </row>
    <row r="3" spans="1:10" ht="15" customHeight="1" thickTop="1" x14ac:dyDescent="0.2">
      <c r="A3" s="212" t="s">
        <v>515</v>
      </c>
      <c r="B3" s="213"/>
      <c r="C3" s="213"/>
      <c r="D3" s="213"/>
      <c r="E3" s="213"/>
      <c r="F3" s="213"/>
      <c r="G3" s="213"/>
      <c r="H3" s="213"/>
      <c r="I3" s="213"/>
      <c r="J3" s="214"/>
    </row>
    <row r="4" spans="1:10" ht="15" customHeight="1" x14ac:dyDescent="0.2">
      <c r="A4" s="215" t="s">
        <v>3</v>
      </c>
      <c r="B4" s="216"/>
      <c r="C4" s="216"/>
      <c r="D4" s="216"/>
      <c r="E4" s="216"/>
      <c r="F4" s="216"/>
      <c r="G4" s="216"/>
      <c r="H4" s="216"/>
      <c r="I4" s="216"/>
      <c r="J4" s="217"/>
    </row>
    <row r="5" spans="1:10" ht="15" customHeight="1" x14ac:dyDescent="0.2">
      <c r="A5" s="215" t="s">
        <v>4</v>
      </c>
      <c r="B5" s="216"/>
      <c r="C5" s="216"/>
      <c r="D5" s="216"/>
      <c r="E5" s="216"/>
      <c r="F5" s="216"/>
      <c r="G5" s="216"/>
      <c r="H5" s="216"/>
      <c r="I5" s="216"/>
      <c r="J5" s="217"/>
    </row>
    <row r="6" spans="1:10" ht="15" customHeight="1" x14ac:dyDescent="0.2">
      <c r="A6" s="215" t="s">
        <v>5</v>
      </c>
      <c r="B6" s="216"/>
      <c r="C6" s="216"/>
      <c r="D6" s="216"/>
      <c r="E6" s="216"/>
      <c r="F6" s="216"/>
      <c r="G6" s="216"/>
      <c r="H6" s="216"/>
      <c r="I6" s="216"/>
      <c r="J6" s="217"/>
    </row>
    <row r="7" spans="1:10" ht="15" customHeight="1" x14ac:dyDescent="0.2">
      <c r="A7" s="215"/>
      <c r="B7" s="216"/>
      <c r="C7" s="216"/>
      <c r="D7" s="216"/>
      <c r="E7" s="216"/>
      <c r="F7" s="216"/>
      <c r="G7" s="216"/>
      <c r="H7" s="216"/>
      <c r="I7" s="216"/>
      <c r="J7" s="217"/>
    </row>
    <row r="8" spans="1:10" ht="15" customHeight="1" x14ac:dyDescent="0.2">
      <c r="A8" s="215" t="s">
        <v>25</v>
      </c>
      <c r="B8" s="216"/>
      <c r="C8" s="216"/>
      <c r="D8" s="216"/>
      <c r="E8" s="216"/>
      <c r="F8" s="216"/>
      <c r="G8" s="216"/>
      <c r="H8" s="216"/>
      <c r="I8" s="216"/>
      <c r="J8" s="217"/>
    </row>
    <row r="9" spans="1:10" ht="15" customHeight="1" x14ac:dyDescent="0.2">
      <c r="A9" s="3"/>
      <c r="B9" s="4"/>
      <c r="C9" s="4"/>
      <c r="D9" s="4"/>
      <c r="E9" s="4"/>
      <c r="F9" s="4"/>
      <c r="G9" s="4"/>
      <c r="H9" s="4"/>
      <c r="I9" s="4"/>
      <c r="J9" s="5"/>
    </row>
    <row r="10" spans="1:10" ht="15" customHeight="1" x14ac:dyDescent="0.2">
      <c r="A10" s="20"/>
      <c r="B10" s="6"/>
      <c r="C10" s="223" t="s">
        <v>501</v>
      </c>
      <c r="D10" s="223"/>
      <c r="E10" s="223"/>
      <c r="F10" s="223"/>
      <c r="G10" s="223"/>
      <c r="H10" s="223"/>
      <c r="I10" s="6"/>
      <c r="J10" s="7"/>
    </row>
    <row r="11" spans="1:10" ht="15" customHeight="1" x14ac:dyDescent="0.2">
      <c r="A11" s="20"/>
      <c r="B11" s="6"/>
      <c r="C11" s="223"/>
      <c r="D11" s="223"/>
      <c r="E11" s="223"/>
      <c r="F11" s="223"/>
      <c r="G11" s="223"/>
      <c r="H11" s="223"/>
      <c r="I11" s="6"/>
      <c r="J11" s="7"/>
    </row>
    <row r="12" spans="1:10" s="21" customFormat="1" ht="21" customHeight="1" x14ac:dyDescent="0.2">
      <c r="A12" s="12"/>
      <c r="B12" s="6"/>
      <c r="C12" s="223"/>
      <c r="D12" s="223"/>
      <c r="E12" s="223"/>
      <c r="F12" s="223"/>
      <c r="G12" s="223"/>
      <c r="H12" s="223"/>
      <c r="I12" s="6"/>
      <c r="J12" s="7"/>
    </row>
    <row r="13" spans="1:10" s="21" customFormat="1" ht="21" customHeight="1" thickBot="1" x14ac:dyDescent="0.25">
      <c r="A13" s="8"/>
      <c r="B13" s="9"/>
      <c r="C13" s="10"/>
      <c r="D13" s="10"/>
      <c r="E13" s="10"/>
      <c r="F13" s="10"/>
      <c r="G13" s="10"/>
      <c r="H13" s="10"/>
      <c r="I13" s="9"/>
      <c r="J13" s="11"/>
    </row>
    <row r="14" spans="1:10" ht="15" customHeight="1" thickTop="1" x14ac:dyDescent="0.2">
      <c r="A14" s="12"/>
      <c r="B14" s="6"/>
      <c r="C14" s="6"/>
      <c r="D14" s="6"/>
      <c r="E14" s="6"/>
      <c r="F14" s="6"/>
      <c r="G14" s="6"/>
      <c r="H14" s="6"/>
      <c r="I14" s="6"/>
      <c r="J14" s="7"/>
    </row>
    <row r="15" spans="1:10" ht="24.95" customHeight="1" x14ac:dyDescent="0.35">
      <c r="A15" s="13"/>
      <c r="B15" s="108"/>
      <c r="C15" s="14" t="s">
        <v>1</v>
      </c>
      <c r="D15" s="109"/>
      <c r="E15" s="109"/>
      <c r="F15" s="109"/>
      <c r="G15" s="15"/>
      <c r="H15" s="15"/>
      <c r="I15" s="15"/>
      <c r="J15" s="16"/>
    </row>
    <row r="16" spans="1:10" ht="24.95" customHeight="1" x14ac:dyDescent="0.25">
      <c r="A16" s="13"/>
      <c r="B16" s="110">
        <v>1</v>
      </c>
      <c r="C16" s="220" t="s">
        <v>2</v>
      </c>
      <c r="D16" s="220"/>
      <c r="E16" s="220"/>
      <c r="F16" s="220"/>
      <c r="G16" s="112"/>
      <c r="H16" s="15"/>
      <c r="I16" s="15"/>
      <c r="J16" s="16"/>
    </row>
    <row r="17" spans="1:10" ht="24.95" customHeight="1" x14ac:dyDescent="0.25">
      <c r="A17" s="13"/>
      <c r="B17" s="110" t="s">
        <v>550</v>
      </c>
      <c r="C17" s="211" t="s">
        <v>557</v>
      </c>
      <c r="D17" s="211"/>
      <c r="E17" s="211"/>
      <c r="F17" s="211"/>
      <c r="G17" s="112"/>
      <c r="H17" s="15"/>
      <c r="I17" s="15"/>
      <c r="J17" s="16"/>
    </row>
    <row r="18" spans="1:10" ht="24.95" customHeight="1" x14ac:dyDescent="0.25">
      <c r="A18" s="13"/>
      <c r="B18" s="110" t="s">
        <v>551</v>
      </c>
      <c r="C18" s="211" t="s">
        <v>282</v>
      </c>
      <c r="D18" s="211"/>
      <c r="E18" s="211"/>
      <c r="F18" s="211"/>
      <c r="G18" s="112"/>
      <c r="H18" s="15"/>
      <c r="I18" s="15"/>
      <c r="J18" s="16"/>
    </row>
    <row r="19" spans="1:10" ht="24.95" customHeight="1" x14ac:dyDescent="0.25">
      <c r="A19" s="13"/>
      <c r="B19" s="110">
        <v>3</v>
      </c>
      <c r="C19" s="221" t="s">
        <v>283</v>
      </c>
      <c r="D19" s="221"/>
      <c r="E19" s="221"/>
      <c r="F19" s="221"/>
      <c r="G19" s="112"/>
      <c r="H19" s="15"/>
      <c r="I19" s="15"/>
      <c r="J19" s="16"/>
    </row>
    <row r="20" spans="1:10" ht="24.95" customHeight="1" x14ac:dyDescent="0.25">
      <c r="A20" s="13"/>
      <c r="B20" s="110">
        <v>4</v>
      </c>
      <c r="C20" s="222" t="s">
        <v>284</v>
      </c>
      <c r="D20" s="222"/>
      <c r="E20" s="222"/>
      <c r="F20" s="222"/>
      <c r="G20" s="112"/>
      <c r="H20" s="15"/>
      <c r="I20" s="15"/>
      <c r="J20" s="16"/>
    </row>
    <row r="21" spans="1:10" ht="24.95" customHeight="1" x14ac:dyDescent="0.25">
      <c r="A21" s="13"/>
      <c r="B21" s="110">
        <v>5</v>
      </c>
      <c r="C21" s="208" t="s">
        <v>286</v>
      </c>
      <c r="D21" s="208"/>
      <c r="E21" s="208"/>
      <c r="F21" s="208"/>
      <c r="G21" s="112"/>
      <c r="H21" s="15"/>
      <c r="I21" s="15"/>
      <c r="J21" s="16"/>
    </row>
    <row r="22" spans="1:10" ht="24.95" customHeight="1" x14ac:dyDescent="0.25">
      <c r="A22" s="13"/>
      <c r="B22" s="110">
        <v>6</v>
      </c>
      <c r="C22" s="208" t="s">
        <v>289</v>
      </c>
      <c r="D22" s="208"/>
      <c r="E22" s="208"/>
      <c r="F22" s="208"/>
      <c r="G22" s="112"/>
      <c r="H22" s="15"/>
      <c r="I22" s="15"/>
      <c r="J22" s="16"/>
    </row>
    <row r="23" spans="1:10" ht="24.95" customHeight="1" x14ac:dyDescent="0.25">
      <c r="A23" s="13"/>
      <c r="B23" s="110">
        <v>7</v>
      </c>
      <c r="C23" s="208" t="s">
        <v>285</v>
      </c>
      <c r="D23" s="208"/>
      <c r="E23" s="208"/>
      <c r="F23" s="208"/>
      <c r="G23" s="112"/>
      <c r="H23" s="15"/>
      <c r="I23" s="15"/>
      <c r="J23" s="16"/>
    </row>
    <row r="24" spans="1:10" ht="24.95" customHeight="1" x14ac:dyDescent="0.25">
      <c r="A24" s="13"/>
      <c r="B24" s="110">
        <v>8</v>
      </c>
      <c r="C24" s="209" t="s">
        <v>287</v>
      </c>
      <c r="D24" s="209"/>
      <c r="E24" s="209"/>
      <c r="F24" s="209"/>
      <c r="G24" s="112"/>
      <c r="H24" s="15"/>
      <c r="I24" s="15"/>
      <c r="J24" s="16"/>
    </row>
    <row r="25" spans="1:10" ht="24.95" customHeight="1" x14ac:dyDescent="0.25">
      <c r="A25" s="13"/>
      <c r="B25" s="110">
        <v>9</v>
      </c>
      <c r="C25" s="210" t="s">
        <v>288</v>
      </c>
      <c r="D25" s="210"/>
      <c r="E25" s="210"/>
      <c r="F25" s="210"/>
      <c r="G25" s="112"/>
      <c r="H25" s="15"/>
      <c r="I25" s="15"/>
      <c r="J25" s="16"/>
    </row>
    <row r="26" spans="1:10" ht="24.95" customHeight="1" x14ac:dyDescent="0.25">
      <c r="A26" s="13"/>
      <c r="B26" s="110">
        <v>10</v>
      </c>
      <c r="C26" s="209" t="s">
        <v>290</v>
      </c>
      <c r="D26" s="209"/>
      <c r="E26" s="209"/>
      <c r="F26" s="209"/>
      <c r="G26" s="112"/>
      <c r="H26" s="15"/>
      <c r="I26" s="15"/>
      <c r="J26" s="16"/>
    </row>
    <row r="27" spans="1:10" ht="24.95" customHeight="1" x14ac:dyDescent="0.25">
      <c r="A27" s="13"/>
      <c r="B27" s="110">
        <v>11</v>
      </c>
      <c r="C27" s="199" t="s">
        <v>291</v>
      </c>
      <c r="D27" s="199"/>
      <c r="E27" s="199"/>
      <c r="F27" s="199"/>
      <c r="G27" s="112"/>
      <c r="H27" s="15"/>
      <c r="I27" s="15"/>
      <c r="J27" s="16"/>
    </row>
    <row r="28" spans="1:10" ht="24.95" customHeight="1" x14ac:dyDescent="0.25">
      <c r="A28" s="13"/>
      <c r="B28" s="110">
        <v>12</v>
      </c>
      <c r="C28" s="199" t="s">
        <v>292</v>
      </c>
      <c r="D28" s="199"/>
      <c r="E28" s="199"/>
      <c r="F28" s="199"/>
      <c r="G28" s="112"/>
      <c r="H28" s="15"/>
      <c r="I28" s="15"/>
      <c r="J28" s="16"/>
    </row>
    <row r="29" spans="1:10" ht="24.95" customHeight="1" x14ac:dyDescent="0.25">
      <c r="A29" s="13"/>
      <c r="B29" s="110">
        <v>13</v>
      </c>
      <c r="C29" s="199" t="s">
        <v>293</v>
      </c>
      <c r="D29" s="199"/>
      <c r="E29" s="199"/>
      <c r="F29" s="199"/>
      <c r="G29" s="112"/>
      <c r="H29" s="15"/>
      <c r="I29" s="15"/>
      <c r="J29" s="16"/>
    </row>
    <row r="30" spans="1:10" ht="24.95" customHeight="1" x14ac:dyDescent="0.25">
      <c r="A30" s="13"/>
      <c r="B30" s="110">
        <v>14</v>
      </c>
      <c r="C30" s="199" t="s">
        <v>294</v>
      </c>
      <c r="D30" s="199"/>
      <c r="E30" s="199"/>
      <c r="F30" s="199"/>
      <c r="G30" s="112"/>
      <c r="H30" s="15"/>
      <c r="I30" s="15"/>
      <c r="J30" s="16"/>
    </row>
    <row r="31" spans="1:10" ht="24.95" customHeight="1" x14ac:dyDescent="0.25">
      <c r="A31" s="13"/>
      <c r="B31" s="110">
        <v>15</v>
      </c>
      <c r="C31" s="202" t="s">
        <v>295</v>
      </c>
      <c r="D31" s="202"/>
      <c r="E31" s="202"/>
      <c r="F31" s="202"/>
      <c r="G31" s="112"/>
      <c r="H31" s="15"/>
      <c r="I31" s="15"/>
      <c r="J31" s="16"/>
    </row>
    <row r="32" spans="1:10" ht="24.95" customHeight="1" x14ac:dyDescent="0.25">
      <c r="A32" s="13"/>
      <c r="B32" s="110">
        <v>16</v>
      </c>
      <c r="C32" s="203" t="s">
        <v>296</v>
      </c>
      <c r="D32" s="203"/>
      <c r="E32" s="203"/>
      <c r="F32" s="203"/>
      <c r="G32" s="112"/>
      <c r="H32" s="15"/>
      <c r="I32" s="15"/>
      <c r="J32" s="16"/>
    </row>
    <row r="33" spans="1:10" ht="24.95" customHeight="1" x14ac:dyDescent="0.25">
      <c r="A33" s="13"/>
      <c r="B33" s="110">
        <v>17</v>
      </c>
      <c r="C33" s="203" t="s">
        <v>297</v>
      </c>
      <c r="D33" s="203"/>
      <c r="E33" s="203"/>
      <c r="F33" s="203"/>
      <c r="G33" s="112"/>
      <c r="H33" s="15"/>
      <c r="I33" s="15"/>
      <c r="J33" s="16"/>
    </row>
    <row r="34" spans="1:10" ht="24.95" customHeight="1" x14ac:dyDescent="0.25">
      <c r="A34" s="13"/>
      <c r="B34" s="110">
        <v>18</v>
      </c>
      <c r="C34" s="203" t="s">
        <v>298</v>
      </c>
      <c r="D34" s="203"/>
      <c r="E34" s="203"/>
      <c r="F34" s="203"/>
      <c r="G34" s="112"/>
      <c r="H34" s="15"/>
      <c r="I34" s="15"/>
      <c r="J34" s="16"/>
    </row>
    <row r="35" spans="1:10" ht="24.95" customHeight="1" x14ac:dyDescent="0.25">
      <c r="A35" s="13"/>
      <c r="B35" s="110">
        <v>19</v>
      </c>
      <c r="C35" s="204" t="s">
        <v>299</v>
      </c>
      <c r="D35" s="204"/>
      <c r="E35" s="204"/>
      <c r="F35" s="204"/>
      <c r="G35" s="112"/>
      <c r="H35" s="15"/>
      <c r="I35" s="15"/>
      <c r="J35" s="16"/>
    </row>
    <row r="36" spans="1:10" ht="24.95" customHeight="1" x14ac:dyDescent="0.25">
      <c r="A36" s="13"/>
      <c r="B36" s="110">
        <v>20</v>
      </c>
      <c r="C36" s="205" t="s">
        <v>595</v>
      </c>
      <c r="D36" s="206"/>
      <c r="E36" s="206"/>
      <c r="F36" s="207"/>
      <c r="G36" s="112"/>
      <c r="H36" s="15"/>
      <c r="I36" s="15"/>
      <c r="J36" s="16"/>
    </row>
    <row r="37" spans="1:10" ht="24.95" customHeight="1" x14ac:dyDescent="0.25">
      <c r="A37" s="13"/>
      <c r="B37" s="110">
        <v>21</v>
      </c>
      <c r="C37" s="200" t="s">
        <v>300</v>
      </c>
      <c r="D37" s="200"/>
      <c r="E37" s="200"/>
      <c r="F37" s="200"/>
      <c r="G37" s="112"/>
      <c r="H37" s="15"/>
      <c r="I37" s="15"/>
      <c r="J37" s="16"/>
    </row>
    <row r="38" spans="1:10" ht="24.95" customHeight="1" x14ac:dyDescent="0.25">
      <c r="A38" s="13"/>
      <c r="B38" s="110" t="s">
        <v>281</v>
      </c>
      <c r="C38" s="201" t="s">
        <v>281</v>
      </c>
      <c r="D38" s="201"/>
      <c r="E38" s="201"/>
      <c r="F38" s="201"/>
      <c r="G38" s="112"/>
      <c r="H38" s="15"/>
      <c r="I38" s="15"/>
      <c r="J38" s="16"/>
    </row>
    <row r="39" spans="1:10" ht="15" customHeight="1" thickBot="1" x14ac:dyDescent="0.25">
      <c r="A39" s="17"/>
      <c r="B39" s="111"/>
      <c r="C39" s="111"/>
      <c r="D39" s="111"/>
      <c r="E39" s="111"/>
      <c r="F39" s="111"/>
      <c r="G39" s="18"/>
      <c r="H39" s="18"/>
      <c r="I39" s="18"/>
      <c r="J39" s="19"/>
    </row>
    <row r="40" spans="1:10" ht="13.5" thickTop="1" x14ac:dyDescent="0.2"/>
  </sheetData>
  <sheetProtection password="E686" sheet="1" objects="1" scenarios="1"/>
  <mergeCells count="32">
    <mergeCell ref="C18:F18"/>
    <mergeCell ref="C23:F23"/>
    <mergeCell ref="A3:J3"/>
    <mergeCell ref="A8:J8"/>
    <mergeCell ref="A1:J1"/>
    <mergeCell ref="A2:J2"/>
    <mergeCell ref="C21:F21"/>
    <mergeCell ref="C16:F16"/>
    <mergeCell ref="C17:F17"/>
    <mergeCell ref="C19:F19"/>
    <mergeCell ref="C20:F20"/>
    <mergeCell ref="A4:J4"/>
    <mergeCell ref="A5:J5"/>
    <mergeCell ref="A7:J7"/>
    <mergeCell ref="C10:H12"/>
    <mergeCell ref="A6:J6"/>
    <mergeCell ref="C22:F22"/>
    <mergeCell ref="C24:F24"/>
    <mergeCell ref="C25:F25"/>
    <mergeCell ref="C26:F26"/>
    <mergeCell ref="C27:F27"/>
    <mergeCell ref="C28:F28"/>
    <mergeCell ref="C37:F37"/>
    <mergeCell ref="C38:F38"/>
    <mergeCell ref="C29:F29"/>
    <mergeCell ref="C30:F30"/>
    <mergeCell ref="C31:F31"/>
    <mergeCell ref="C32:F32"/>
    <mergeCell ref="C33:F33"/>
    <mergeCell ref="C34:F34"/>
    <mergeCell ref="C35:F35"/>
    <mergeCell ref="C36:F36"/>
  </mergeCells>
  <hyperlinks>
    <hyperlink ref="C16" location="'1'!A1" display="Cover Sheet"/>
    <hyperlink ref="C17" location="'2'!A1" display="ARRA Title I, Part A"/>
    <hyperlink ref="C20" location="'3'!A1" display="ARRA Title I, Part A Equitable Services"/>
    <hyperlink ref="C16:F16" location="'1'!A1" display="Applicant Information and Certification"/>
    <hyperlink ref="C17:F17" location="'2a'!A1" display="Intervention Strategies for Identified Schools"/>
    <hyperlink ref="C20:F20" location="'4'!A1" display="Title I, Part A Planning"/>
    <hyperlink ref="C21:F21" location="'5'!A1" display="Consolidated Schoolwide Program: Expenditure Summary"/>
    <hyperlink ref="C21" location="'5'!A1" display="ARRA IDEA 611 CEIS"/>
    <hyperlink ref="C22" location="'2'!A1" display="ARRA Title I, Part A"/>
    <hyperlink ref="C23" location="'3'!A1" display="ARRA Title I, Part A Equitable Services"/>
    <hyperlink ref="C24" location="'3'!A1" display="ARRA Title I, Part A Equitable Services"/>
    <hyperlink ref="C22:F22" location="'6'!A1" display="Consolidated Schoolwide Program: Expenditure Details"/>
    <hyperlink ref="C23:F23" location="'7'!A1" display="Consolidated Schoolwide Program: Budget"/>
    <hyperlink ref="C24:F24" location="'8'!A1" display="Title I, Part A (Unconsolidated): Expenditure Summary"/>
    <hyperlink ref="C26" location="'2'!A1" display="ARRA Title I, Part A"/>
    <hyperlink ref="C27" location="'3'!A1" display="ARRA Title I, Part A Equitable Services"/>
    <hyperlink ref="C28" location="'3'!A1" display="ARRA Title I, Part A Equitable Services"/>
    <hyperlink ref="C26:F26" location="'10'!A1" display="Title I, Part A (Unconsolidated): Budget"/>
    <hyperlink ref="C27:F27" location="'11'!A1" display="Title II, Part A (Unconsolidated): Planning"/>
    <hyperlink ref="C28:F28" location="'12'!A1" display="Title II, Part A (Unconsolidated): Expenditure Summary"/>
    <hyperlink ref="C38" location="'2'!A1" display="ARRA Title I, Part A"/>
    <hyperlink ref="C38:F38" location="Validation!A1" display="Validation"/>
    <hyperlink ref="C29" location="'3'!A1" display="ARRA Title I, Part A Equitable Services"/>
    <hyperlink ref="C30" location="'3'!A1" display="ARRA Title I, Part A Equitable Services"/>
    <hyperlink ref="C29:F29" location="'13'!A1" display="Title II, Part A (Unconsolidated): Expenditure Details"/>
    <hyperlink ref="C30:F30" location="'14'!A1" display="Title II, Part A (Unconsolidated): Budget"/>
    <hyperlink ref="C32" location="'2'!A1" display="ARRA Title I, Part A"/>
    <hyperlink ref="C33" location="'3'!A1" display="ARRA Title I, Part A Equitable Services"/>
    <hyperlink ref="C34" location="'3'!A1" display="ARRA Title I, Part A Equitable Services"/>
    <hyperlink ref="C32:F32" location="'16'!A1" display="Title III, Part A (Unconsolidated): Expenditure Summary"/>
    <hyperlink ref="C33:F33" location="'17'!A1" display="Title III, Part A (Unconsolidated): Expenditure Details"/>
    <hyperlink ref="C34:F34" location="'18'!A1" display="Title III, Part A (Unconsolidated): Budget"/>
    <hyperlink ref="C37" location="'2'!A1" display="ARRA Title I, Part A"/>
    <hyperlink ref="C37:F37" location="'20'!A1" display="Reference: Budget Definitions"/>
    <hyperlink ref="C35:F35" location="'19'!A1" display="Additional Assurances for DCPS Only"/>
    <hyperlink ref="C31:F31" location="'15'!A1" display="Title III, Part A (Unconsolidated): Planning"/>
    <hyperlink ref="C25:F25" location="'9'!A1" display="Title I, Part A (Unconsolidated): Expenditure Details"/>
    <hyperlink ref="C19:F19" location="'3'!A1" display="Consolidation of Funds in Schoolwide Program Pool"/>
    <hyperlink ref="C18" location="'2'!A1" display="ARRA Title I, Part A"/>
    <hyperlink ref="C18:F18" location="'2b'!A1" display="Required and Optional Title I Set-Asides/Reservations"/>
    <hyperlink ref="C36:F36" location="'20'!A1" display="Statewide Accountability Assurances"/>
  </hyperlinks>
  <pageMargins left="0.75" right="0.75" top="1" bottom="1" header="0.5" footer="0.5"/>
  <pageSetup scale="6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21"/>
  <sheetViews>
    <sheetView topLeftCell="A9" zoomScaleNormal="100" workbookViewId="0">
      <selection activeCell="A302" sqref="A302:J336"/>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368" t="s">
        <v>193</v>
      </c>
      <c r="B1" s="369"/>
      <c r="C1" s="369"/>
      <c r="D1" s="369"/>
      <c r="E1" s="369"/>
      <c r="F1" s="369"/>
      <c r="G1" s="369"/>
      <c r="H1" s="369"/>
      <c r="I1" s="369"/>
      <c r="J1" s="370"/>
    </row>
    <row r="2" spans="1:10" ht="12.75" customHeight="1" x14ac:dyDescent="0.2">
      <c r="A2" s="371"/>
      <c r="B2" s="372"/>
      <c r="C2" s="372"/>
      <c r="D2" s="372"/>
      <c r="E2" s="372"/>
      <c r="F2" s="372"/>
      <c r="G2" s="372"/>
      <c r="H2" s="372"/>
      <c r="I2" s="372"/>
      <c r="J2" s="373"/>
    </row>
    <row r="3" spans="1:10" ht="12.75" customHeight="1" x14ac:dyDescent="0.2">
      <c r="A3" s="543" t="s">
        <v>255</v>
      </c>
      <c r="B3" s="544"/>
      <c r="C3" s="544"/>
      <c r="D3" s="544"/>
      <c r="E3" s="544"/>
      <c r="F3" s="544"/>
      <c r="G3" s="544"/>
      <c r="H3" s="544"/>
      <c r="I3" s="544"/>
      <c r="J3" s="545"/>
    </row>
    <row r="4" spans="1:10" ht="12.75" customHeight="1" x14ac:dyDescent="0.2">
      <c r="A4" s="573"/>
      <c r="B4" s="574"/>
      <c r="C4" s="574"/>
      <c r="D4" s="574"/>
      <c r="E4" s="574"/>
      <c r="F4" s="574"/>
      <c r="G4" s="574"/>
      <c r="H4" s="574"/>
      <c r="I4" s="574"/>
      <c r="J4" s="575"/>
    </row>
    <row r="5" spans="1:10" ht="12.75" customHeight="1" x14ac:dyDescent="0.2">
      <c r="A5" s="546"/>
      <c r="B5" s="547"/>
      <c r="C5" s="547"/>
      <c r="D5" s="547"/>
      <c r="E5" s="547"/>
      <c r="F5" s="547"/>
      <c r="G5" s="547"/>
      <c r="H5" s="547"/>
      <c r="I5" s="547"/>
      <c r="J5" s="548"/>
    </row>
    <row r="6" spans="1:10" ht="12.75" customHeight="1" x14ac:dyDescent="0.2">
      <c r="A6" s="576" t="s">
        <v>254</v>
      </c>
      <c r="B6" s="577"/>
      <c r="C6" s="577"/>
      <c r="D6" s="577"/>
      <c r="E6" s="577"/>
      <c r="F6" s="577"/>
      <c r="G6" s="577"/>
      <c r="H6" s="577"/>
      <c r="I6" s="577"/>
      <c r="J6" s="578"/>
    </row>
    <row r="7" spans="1:10" ht="12.75" customHeight="1" x14ac:dyDescent="0.2">
      <c r="A7" s="579"/>
      <c r="B7" s="580"/>
      <c r="C7" s="580"/>
      <c r="D7" s="580"/>
      <c r="E7" s="580"/>
      <c r="F7" s="580"/>
      <c r="G7" s="580"/>
      <c r="H7" s="580"/>
      <c r="I7" s="580"/>
      <c r="J7" s="581"/>
    </row>
    <row r="8" spans="1:10" ht="12.75" customHeight="1" x14ac:dyDescent="0.2">
      <c r="A8" s="579"/>
      <c r="B8" s="580"/>
      <c r="C8" s="580"/>
      <c r="D8" s="580"/>
      <c r="E8" s="580"/>
      <c r="F8" s="580"/>
      <c r="G8" s="580"/>
      <c r="H8" s="580"/>
      <c r="I8" s="580"/>
      <c r="J8" s="581"/>
    </row>
    <row r="9" spans="1:10" ht="12.75" customHeight="1" x14ac:dyDescent="0.2">
      <c r="A9" s="579"/>
      <c r="B9" s="580"/>
      <c r="C9" s="580"/>
      <c r="D9" s="580"/>
      <c r="E9" s="580"/>
      <c r="F9" s="580"/>
      <c r="G9" s="580"/>
      <c r="H9" s="580"/>
      <c r="I9" s="580"/>
      <c r="J9" s="581"/>
    </row>
    <row r="10" spans="1:10" ht="12.75" customHeight="1" x14ac:dyDescent="0.2">
      <c r="A10" s="579"/>
      <c r="B10" s="580"/>
      <c r="C10" s="580"/>
      <c r="D10" s="580"/>
      <c r="E10" s="580"/>
      <c r="F10" s="580"/>
      <c r="G10" s="580"/>
      <c r="H10" s="580"/>
      <c r="I10" s="580"/>
      <c r="J10" s="581"/>
    </row>
    <row r="11" spans="1:10" ht="12.75" customHeight="1" x14ac:dyDescent="0.2">
      <c r="A11" s="579"/>
      <c r="B11" s="580"/>
      <c r="C11" s="580"/>
      <c r="D11" s="580"/>
      <c r="E11" s="580"/>
      <c r="F11" s="580"/>
      <c r="G11" s="580"/>
      <c r="H11" s="580"/>
      <c r="I11" s="580"/>
      <c r="J11" s="581"/>
    </row>
    <row r="12" spans="1:10" ht="12.75" customHeight="1" x14ac:dyDescent="0.2">
      <c r="A12" s="630" t="s">
        <v>505</v>
      </c>
      <c r="B12" s="631"/>
      <c r="C12" s="631"/>
      <c r="D12" s="631"/>
      <c r="E12" s="631"/>
      <c r="F12" s="631"/>
      <c r="G12" s="631"/>
      <c r="H12" s="631"/>
      <c r="I12" s="631"/>
      <c r="J12" s="632"/>
    </row>
    <row r="13" spans="1:10" ht="12.75" customHeight="1" x14ac:dyDescent="0.2">
      <c r="A13" s="630"/>
      <c r="B13" s="631"/>
      <c r="C13" s="631"/>
      <c r="D13" s="631"/>
      <c r="E13" s="631"/>
      <c r="F13" s="631"/>
      <c r="G13" s="631"/>
      <c r="H13" s="631"/>
      <c r="I13" s="631"/>
      <c r="J13" s="632"/>
    </row>
    <row r="14" spans="1:10" ht="12.75" customHeight="1" x14ac:dyDescent="0.2">
      <c r="A14" s="630"/>
      <c r="B14" s="631"/>
      <c r="C14" s="631"/>
      <c r="D14" s="631"/>
      <c r="E14" s="631"/>
      <c r="F14" s="631"/>
      <c r="G14" s="631"/>
      <c r="H14" s="631"/>
      <c r="I14" s="631"/>
      <c r="J14" s="632"/>
    </row>
    <row r="15" spans="1:10" ht="12.75" customHeight="1" x14ac:dyDescent="0.2">
      <c r="A15" s="630"/>
      <c r="B15" s="631"/>
      <c r="C15" s="631"/>
      <c r="D15" s="631"/>
      <c r="E15" s="631"/>
      <c r="F15" s="631"/>
      <c r="G15" s="631"/>
      <c r="H15" s="631"/>
      <c r="I15" s="631"/>
      <c r="J15" s="632"/>
    </row>
    <row r="16" spans="1:10" ht="12.75" customHeight="1" x14ac:dyDescent="0.2">
      <c r="A16" s="630"/>
      <c r="B16" s="631"/>
      <c r="C16" s="631"/>
      <c r="D16" s="631"/>
      <c r="E16" s="631"/>
      <c r="F16" s="631"/>
      <c r="G16" s="631"/>
      <c r="H16" s="631"/>
      <c r="I16" s="631"/>
      <c r="J16" s="632"/>
    </row>
    <row r="17" spans="1:10" ht="12.75" customHeight="1" x14ac:dyDescent="0.2">
      <c r="A17" s="66"/>
      <c r="B17" s="67"/>
      <c r="C17" s="67"/>
      <c r="D17" s="67"/>
      <c r="E17" s="67"/>
      <c r="F17" s="67"/>
      <c r="G17" s="67"/>
      <c r="H17" s="67"/>
      <c r="I17" s="67"/>
      <c r="J17" s="68"/>
    </row>
    <row r="18" spans="1:10" ht="12.75" customHeight="1" x14ac:dyDescent="0.2">
      <c r="A18" s="630" t="s">
        <v>503</v>
      </c>
      <c r="B18" s="631"/>
      <c r="C18" s="631"/>
      <c r="D18" s="631"/>
      <c r="E18" s="631"/>
      <c r="F18" s="631"/>
      <c r="G18" s="631"/>
      <c r="H18" s="631"/>
      <c r="I18" s="631"/>
      <c r="J18" s="632"/>
    </row>
    <row r="19" spans="1:10" ht="12.75" customHeight="1" x14ac:dyDescent="0.2">
      <c r="A19" s="66"/>
      <c r="B19" s="67"/>
      <c r="C19" s="67"/>
      <c r="D19" s="67"/>
      <c r="E19" s="67"/>
      <c r="F19" s="67"/>
      <c r="G19" s="67"/>
      <c r="H19" s="67"/>
      <c r="I19" s="67"/>
      <c r="J19" s="68"/>
    </row>
    <row r="20" spans="1:10" s="61" customFormat="1" x14ac:dyDescent="0.2">
      <c r="A20" s="55"/>
      <c r="B20" s="56"/>
      <c r="C20" s="57"/>
      <c r="D20" s="58"/>
      <c r="E20" s="58"/>
      <c r="F20" s="58"/>
      <c r="G20" s="58"/>
      <c r="H20" s="59"/>
      <c r="I20" s="57"/>
      <c r="J20" s="60"/>
    </row>
    <row r="21" spans="1:10" s="61" customFormat="1" ht="25.5" customHeight="1" x14ac:dyDescent="0.2">
      <c r="A21" s="619" t="s">
        <v>194</v>
      </c>
      <c r="B21" s="620"/>
      <c r="C21" s="620"/>
      <c r="D21" s="620"/>
      <c r="E21" s="620"/>
      <c r="F21" s="621"/>
      <c r="G21" s="622"/>
      <c r="H21" s="622"/>
      <c r="I21" s="622"/>
      <c r="J21" s="623"/>
    </row>
    <row r="22" spans="1:10" s="61" customFormat="1" ht="12.75" customHeight="1" x14ac:dyDescent="0.2">
      <c r="A22" s="348" t="s">
        <v>301</v>
      </c>
      <c r="B22" s="349"/>
      <c r="C22" s="349"/>
      <c r="D22" s="349"/>
      <c r="E22" s="349"/>
      <c r="F22" s="614"/>
      <c r="G22" s="614"/>
      <c r="H22" s="614"/>
      <c r="I22" s="614"/>
      <c r="J22" s="615"/>
    </row>
    <row r="23" spans="1:10" ht="12.75" customHeight="1" x14ac:dyDescent="0.2">
      <c r="A23" s="593" t="s">
        <v>368</v>
      </c>
      <c r="B23" s="594"/>
      <c r="C23" s="594"/>
      <c r="D23" s="594"/>
      <c r="E23" s="594"/>
      <c r="F23" s="594"/>
      <c r="G23" s="594"/>
      <c r="H23" s="594"/>
      <c r="I23" s="594"/>
      <c r="J23" s="595"/>
    </row>
    <row r="24" spans="1:10" ht="12.75" customHeight="1" x14ac:dyDescent="0.2">
      <c r="A24" s="596"/>
      <c r="B24" s="597"/>
      <c r="C24" s="597"/>
      <c r="D24" s="597"/>
      <c r="E24" s="597"/>
      <c r="F24" s="597"/>
      <c r="G24" s="597"/>
      <c r="H24" s="597"/>
      <c r="I24" s="597"/>
      <c r="J24" s="598"/>
    </row>
    <row r="25" spans="1:10" ht="12.75" customHeight="1" x14ac:dyDescent="0.2">
      <c r="A25" s="596"/>
      <c r="B25" s="597"/>
      <c r="C25" s="597"/>
      <c r="D25" s="597"/>
      <c r="E25" s="597"/>
      <c r="F25" s="597"/>
      <c r="G25" s="597"/>
      <c r="H25" s="597"/>
      <c r="I25" s="597"/>
      <c r="J25" s="598"/>
    </row>
    <row r="26" spans="1:10" ht="15" customHeight="1" x14ac:dyDescent="0.2">
      <c r="A26" s="599"/>
      <c r="B26" s="600"/>
      <c r="C26" s="600"/>
      <c r="D26" s="600"/>
      <c r="E26" s="600"/>
      <c r="F26" s="600"/>
      <c r="G26" s="600"/>
      <c r="H26" s="600"/>
      <c r="I26" s="600"/>
      <c r="J26" s="601"/>
    </row>
    <row r="27" spans="1:10" ht="12.75" customHeight="1" x14ac:dyDescent="0.2">
      <c r="A27" s="610"/>
      <c r="B27" s="611"/>
      <c r="C27" s="611"/>
      <c r="D27" s="611"/>
      <c r="E27" s="611"/>
      <c r="F27" s="611"/>
      <c r="G27" s="611"/>
      <c r="H27" s="611"/>
      <c r="I27" s="611"/>
      <c r="J27" s="612"/>
    </row>
    <row r="28" spans="1:10" ht="12.75" customHeight="1" x14ac:dyDescent="0.2">
      <c r="A28" s="610"/>
      <c r="B28" s="611"/>
      <c r="C28" s="611"/>
      <c r="D28" s="611"/>
      <c r="E28" s="611"/>
      <c r="F28" s="611"/>
      <c r="G28" s="611"/>
      <c r="H28" s="611"/>
      <c r="I28" s="611"/>
      <c r="J28" s="612"/>
    </row>
    <row r="29" spans="1:10" ht="12.75" customHeight="1" x14ac:dyDescent="0.2">
      <c r="A29" s="610"/>
      <c r="B29" s="611"/>
      <c r="C29" s="611"/>
      <c r="D29" s="611"/>
      <c r="E29" s="611"/>
      <c r="F29" s="611"/>
      <c r="G29" s="611"/>
      <c r="H29" s="611"/>
      <c r="I29" s="611"/>
      <c r="J29" s="612"/>
    </row>
    <row r="30" spans="1:10" ht="12.75" customHeight="1" x14ac:dyDescent="0.2">
      <c r="A30" s="610"/>
      <c r="B30" s="611"/>
      <c r="C30" s="611"/>
      <c r="D30" s="611"/>
      <c r="E30" s="611"/>
      <c r="F30" s="611"/>
      <c r="G30" s="611"/>
      <c r="H30" s="611"/>
      <c r="I30" s="611"/>
      <c r="J30" s="612"/>
    </row>
    <row r="31" spans="1:10" ht="12.75" customHeight="1" x14ac:dyDescent="0.2">
      <c r="A31" s="610"/>
      <c r="B31" s="611"/>
      <c r="C31" s="611"/>
      <c r="D31" s="611"/>
      <c r="E31" s="611"/>
      <c r="F31" s="611"/>
      <c r="G31" s="611"/>
      <c r="H31" s="611"/>
      <c r="I31" s="611"/>
      <c r="J31" s="612"/>
    </row>
    <row r="32" spans="1:10" ht="12.75" customHeight="1" x14ac:dyDescent="0.2">
      <c r="A32" s="610"/>
      <c r="B32" s="611"/>
      <c r="C32" s="611"/>
      <c r="D32" s="611"/>
      <c r="E32" s="611"/>
      <c r="F32" s="611"/>
      <c r="G32" s="611"/>
      <c r="H32" s="611"/>
      <c r="I32" s="611"/>
      <c r="J32" s="612"/>
    </row>
    <row r="33" spans="1:10" ht="12.75" customHeight="1" x14ac:dyDescent="0.2">
      <c r="A33" s="610"/>
      <c r="B33" s="611"/>
      <c r="C33" s="611"/>
      <c r="D33" s="611"/>
      <c r="E33" s="611"/>
      <c r="F33" s="611"/>
      <c r="G33" s="611"/>
      <c r="H33" s="611"/>
      <c r="I33" s="611"/>
      <c r="J33" s="612"/>
    </row>
    <row r="34" spans="1:10" ht="12.75" customHeight="1" x14ac:dyDescent="0.2">
      <c r="A34" s="610"/>
      <c r="B34" s="611"/>
      <c r="C34" s="611"/>
      <c r="D34" s="611"/>
      <c r="E34" s="611"/>
      <c r="F34" s="611"/>
      <c r="G34" s="611"/>
      <c r="H34" s="611"/>
      <c r="I34" s="611"/>
      <c r="J34" s="612"/>
    </row>
    <row r="35" spans="1:10" ht="12.75" customHeight="1" x14ac:dyDescent="0.2">
      <c r="A35" s="610"/>
      <c r="B35" s="611"/>
      <c r="C35" s="611"/>
      <c r="D35" s="611"/>
      <c r="E35" s="611"/>
      <c r="F35" s="611"/>
      <c r="G35" s="611"/>
      <c r="H35" s="611"/>
      <c r="I35" s="611"/>
      <c r="J35" s="612"/>
    </row>
    <row r="36" spans="1:10" ht="12.75" customHeight="1" x14ac:dyDescent="0.2">
      <c r="A36" s="610"/>
      <c r="B36" s="611"/>
      <c r="C36" s="611"/>
      <c r="D36" s="611"/>
      <c r="E36" s="611"/>
      <c r="F36" s="611"/>
      <c r="G36" s="611"/>
      <c r="H36" s="611"/>
      <c r="I36" s="611"/>
      <c r="J36" s="612"/>
    </row>
    <row r="37" spans="1:10" ht="12.75" customHeight="1" x14ac:dyDescent="0.2">
      <c r="A37" s="610"/>
      <c r="B37" s="611"/>
      <c r="C37" s="611"/>
      <c r="D37" s="611"/>
      <c r="E37" s="611"/>
      <c r="F37" s="611"/>
      <c r="G37" s="611"/>
      <c r="H37" s="611"/>
      <c r="I37" s="611"/>
      <c r="J37" s="612"/>
    </row>
    <row r="38" spans="1:10" ht="12.75" customHeight="1" x14ac:dyDescent="0.2">
      <c r="A38" s="610"/>
      <c r="B38" s="611"/>
      <c r="C38" s="611"/>
      <c r="D38" s="611"/>
      <c r="E38" s="611"/>
      <c r="F38" s="611"/>
      <c r="G38" s="611"/>
      <c r="H38" s="611"/>
      <c r="I38" s="611"/>
      <c r="J38" s="612"/>
    </row>
    <row r="39" spans="1:10" ht="12.75" customHeight="1" x14ac:dyDescent="0.2">
      <c r="A39" s="610"/>
      <c r="B39" s="611"/>
      <c r="C39" s="611"/>
      <c r="D39" s="611"/>
      <c r="E39" s="611"/>
      <c r="F39" s="611"/>
      <c r="G39" s="611"/>
      <c r="H39" s="611"/>
      <c r="I39" s="611"/>
      <c r="J39" s="612"/>
    </row>
    <row r="40" spans="1:10" ht="12.75" customHeight="1" x14ac:dyDescent="0.2">
      <c r="A40" s="610"/>
      <c r="B40" s="611"/>
      <c r="C40" s="611"/>
      <c r="D40" s="611"/>
      <c r="E40" s="611"/>
      <c r="F40" s="611"/>
      <c r="G40" s="611"/>
      <c r="H40" s="611"/>
      <c r="I40" s="611"/>
      <c r="J40" s="612"/>
    </row>
    <row r="41" spans="1:10" ht="12.75" customHeight="1" x14ac:dyDescent="0.2">
      <c r="A41" s="610"/>
      <c r="B41" s="611"/>
      <c r="C41" s="611"/>
      <c r="D41" s="611"/>
      <c r="E41" s="611"/>
      <c r="F41" s="611"/>
      <c r="G41" s="611"/>
      <c r="H41" s="611"/>
      <c r="I41" s="611"/>
      <c r="J41" s="612"/>
    </row>
    <row r="42" spans="1:10" ht="12.75" customHeight="1" x14ac:dyDescent="0.2">
      <c r="A42" s="610"/>
      <c r="B42" s="611"/>
      <c r="C42" s="611"/>
      <c r="D42" s="611"/>
      <c r="E42" s="611"/>
      <c r="F42" s="611"/>
      <c r="G42" s="611"/>
      <c r="H42" s="611"/>
      <c r="I42" s="611"/>
      <c r="J42" s="612"/>
    </row>
    <row r="43" spans="1:10" s="61" customFormat="1" x14ac:dyDescent="0.2">
      <c r="A43" s="55"/>
      <c r="B43" s="56"/>
      <c r="C43" s="57"/>
      <c r="D43" s="58"/>
      <c r="E43" s="58"/>
      <c r="F43" s="58"/>
      <c r="G43" s="58"/>
      <c r="H43" s="59"/>
      <c r="I43" s="57"/>
      <c r="J43" s="60"/>
    </row>
    <row r="44" spans="1:10" s="61" customFormat="1" ht="25.5" customHeight="1" x14ac:dyDescent="0.2">
      <c r="A44" s="619" t="s">
        <v>203</v>
      </c>
      <c r="B44" s="620"/>
      <c r="C44" s="620"/>
      <c r="D44" s="620"/>
      <c r="E44" s="620"/>
      <c r="F44" s="621"/>
      <c r="G44" s="622"/>
      <c r="H44" s="622"/>
      <c r="I44" s="622"/>
      <c r="J44" s="623"/>
    </row>
    <row r="45" spans="1:10" s="61" customFormat="1" ht="12.75" customHeight="1" x14ac:dyDescent="0.2">
      <c r="A45" s="348" t="s">
        <v>301</v>
      </c>
      <c r="B45" s="349"/>
      <c r="C45" s="349"/>
      <c r="D45" s="349"/>
      <c r="E45" s="349"/>
      <c r="F45" s="614"/>
      <c r="G45" s="614"/>
      <c r="H45" s="614"/>
      <c r="I45" s="614"/>
      <c r="J45" s="615"/>
    </row>
    <row r="46" spans="1:10" ht="12.75" customHeight="1" x14ac:dyDescent="0.2">
      <c r="A46" s="593" t="s">
        <v>368</v>
      </c>
      <c r="B46" s="594"/>
      <c r="C46" s="594"/>
      <c r="D46" s="594"/>
      <c r="E46" s="594"/>
      <c r="F46" s="594"/>
      <c r="G46" s="594"/>
      <c r="H46" s="594"/>
      <c r="I46" s="594"/>
      <c r="J46" s="595"/>
    </row>
    <row r="47" spans="1:10" ht="12.75" customHeight="1" x14ac:dyDescent="0.2">
      <c r="A47" s="596"/>
      <c r="B47" s="597"/>
      <c r="C47" s="597"/>
      <c r="D47" s="597"/>
      <c r="E47" s="597"/>
      <c r="F47" s="597"/>
      <c r="G47" s="597"/>
      <c r="H47" s="597"/>
      <c r="I47" s="597"/>
      <c r="J47" s="598"/>
    </row>
    <row r="48" spans="1:10" ht="12.75" customHeight="1" x14ac:dyDescent="0.2">
      <c r="A48" s="596"/>
      <c r="B48" s="597"/>
      <c r="C48" s="597"/>
      <c r="D48" s="597"/>
      <c r="E48" s="597"/>
      <c r="F48" s="597"/>
      <c r="G48" s="597"/>
      <c r="H48" s="597"/>
      <c r="I48" s="597"/>
      <c r="J48" s="598"/>
    </row>
    <row r="49" spans="1:10" ht="15" customHeight="1" x14ac:dyDescent="0.2">
      <c r="A49" s="599"/>
      <c r="B49" s="600"/>
      <c r="C49" s="600"/>
      <c r="D49" s="600"/>
      <c r="E49" s="600"/>
      <c r="F49" s="600"/>
      <c r="G49" s="600"/>
      <c r="H49" s="600"/>
      <c r="I49" s="600"/>
      <c r="J49" s="601"/>
    </row>
    <row r="50" spans="1:10" ht="12.75" customHeight="1" x14ac:dyDescent="0.2">
      <c r="A50" s="610"/>
      <c r="B50" s="611"/>
      <c r="C50" s="611"/>
      <c r="D50" s="611"/>
      <c r="E50" s="611"/>
      <c r="F50" s="611"/>
      <c r="G50" s="611"/>
      <c r="H50" s="611"/>
      <c r="I50" s="611"/>
      <c r="J50" s="612"/>
    </row>
    <row r="51" spans="1:10" ht="12.75" customHeight="1" x14ac:dyDescent="0.2">
      <c r="A51" s="610"/>
      <c r="B51" s="611"/>
      <c r="C51" s="611"/>
      <c r="D51" s="611"/>
      <c r="E51" s="611"/>
      <c r="F51" s="611"/>
      <c r="G51" s="611"/>
      <c r="H51" s="611"/>
      <c r="I51" s="611"/>
      <c r="J51" s="612"/>
    </row>
    <row r="52" spans="1:10" ht="12.75" customHeight="1" x14ac:dyDescent="0.2">
      <c r="A52" s="610"/>
      <c r="B52" s="611"/>
      <c r="C52" s="611"/>
      <c r="D52" s="611"/>
      <c r="E52" s="611"/>
      <c r="F52" s="611"/>
      <c r="G52" s="611"/>
      <c r="H52" s="611"/>
      <c r="I52" s="611"/>
      <c r="J52" s="612"/>
    </row>
    <row r="53" spans="1:10" ht="12.75" customHeight="1" x14ac:dyDescent="0.2">
      <c r="A53" s="610"/>
      <c r="B53" s="611"/>
      <c r="C53" s="611"/>
      <c r="D53" s="611"/>
      <c r="E53" s="611"/>
      <c r="F53" s="611"/>
      <c r="G53" s="611"/>
      <c r="H53" s="611"/>
      <c r="I53" s="611"/>
      <c r="J53" s="612"/>
    </row>
    <row r="54" spans="1:10" ht="12.75" customHeight="1" x14ac:dyDescent="0.2">
      <c r="A54" s="610"/>
      <c r="B54" s="611"/>
      <c r="C54" s="611"/>
      <c r="D54" s="611"/>
      <c r="E54" s="611"/>
      <c r="F54" s="611"/>
      <c r="G54" s="611"/>
      <c r="H54" s="611"/>
      <c r="I54" s="611"/>
      <c r="J54" s="612"/>
    </row>
    <row r="55" spans="1:10" ht="12.75" customHeight="1" x14ac:dyDescent="0.2">
      <c r="A55" s="610"/>
      <c r="B55" s="611"/>
      <c r="C55" s="611"/>
      <c r="D55" s="611"/>
      <c r="E55" s="611"/>
      <c r="F55" s="611"/>
      <c r="G55" s="611"/>
      <c r="H55" s="611"/>
      <c r="I55" s="611"/>
      <c r="J55" s="612"/>
    </row>
    <row r="56" spans="1:10" ht="12.75" customHeight="1" x14ac:dyDescent="0.2">
      <c r="A56" s="610"/>
      <c r="B56" s="611"/>
      <c r="C56" s="611"/>
      <c r="D56" s="611"/>
      <c r="E56" s="611"/>
      <c r="F56" s="611"/>
      <c r="G56" s="611"/>
      <c r="H56" s="611"/>
      <c r="I56" s="611"/>
      <c r="J56" s="612"/>
    </row>
    <row r="57" spans="1:10" ht="12.75" customHeight="1" x14ac:dyDescent="0.2">
      <c r="A57" s="610"/>
      <c r="B57" s="611"/>
      <c r="C57" s="611"/>
      <c r="D57" s="611"/>
      <c r="E57" s="611"/>
      <c r="F57" s="611"/>
      <c r="G57" s="611"/>
      <c r="H57" s="611"/>
      <c r="I57" s="611"/>
      <c r="J57" s="612"/>
    </row>
    <row r="58" spans="1:10" ht="12.75" customHeight="1" x14ac:dyDescent="0.2">
      <c r="A58" s="610"/>
      <c r="B58" s="611"/>
      <c r="C58" s="611"/>
      <c r="D58" s="611"/>
      <c r="E58" s="611"/>
      <c r="F58" s="611"/>
      <c r="G58" s="611"/>
      <c r="H58" s="611"/>
      <c r="I58" s="611"/>
      <c r="J58" s="612"/>
    </row>
    <row r="59" spans="1:10" ht="12.75" customHeight="1" x14ac:dyDescent="0.2">
      <c r="A59" s="610"/>
      <c r="B59" s="611"/>
      <c r="C59" s="611"/>
      <c r="D59" s="611"/>
      <c r="E59" s="611"/>
      <c r="F59" s="611"/>
      <c r="G59" s="611"/>
      <c r="H59" s="611"/>
      <c r="I59" s="611"/>
      <c r="J59" s="612"/>
    </row>
    <row r="60" spans="1:10" ht="12.75" customHeight="1" x14ac:dyDescent="0.2">
      <c r="A60" s="610"/>
      <c r="B60" s="611"/>
      <c r="C60" s="611"/>
      <c r="D60" s="611"/>
      <c r="E60" s="611"/>
      <c r="F60" s="611"/>
      <c r="G60" s="611"/>
      <c r="H60" s="611"/>
      <c r="I60" s="611"/>
      <c r="J60" s="612"/>
    </row>
    <row r="61" spans="1:10" ht="12.75" customHeight="1" x14ac:dyDescent="0.2">
      <c r="A61" s="610"/>
      <c r="B61" s="611"/>
      <c r="C61" s="611"/>
      <c r="D61" s="611"/>
      <c r="E61" s="611"/>
      <c r="F61" s="611"/>
      <c r="G61" s="611"/>
      <c r="H61" s="611"/>
      <c r="I61" s="611"/>
      <c r="J61" s="612"/>
    </row>
    <row r="62" spans="1:10" ht="12.75" customHeight="1" x14ac:dyDescent="0.2">
      <c r="A62" s="610"/>
      <c r="B62" s="611"/>
      <c r="C62" s="611"/>
      <c r="D62" s="611"/>
      <c r="E62" s="611"/>
      <c r="F62" s="611"/>
      <c r="G62" s="611"/>
      <c r="H62" s="611"/>
      <c r="I62" s="611"/>
      <c r="J62" s="612"/>
    </row>
    <row r="63" spans="1:10" ht="12.75" customHeight="1" x14ac:dyDescent="0.2">
      <c r="A63" s="610"/>
      <c r="B63" s="611"/>
      <c r="C63" s="611"/>
      <c r="D63" s="611"/>
      <c r="E63" s="611"/>
      <c r="F63" s="611"/>
      <c r="G63" s="611"/>
      <c r="H63" s="611"/>
      <c r="I63" s="611"/>
      <c r="J63" s="612"/>
    </row>
    <row r="64" spans="1:10" ht="12.75" customHeight="1" x14ac:dyDescent="0.2">
      <c r="A64" s="610"/>
      <c r="B64" s="611"/>
      <c r="C64" s="611"/>
      <c r="D64" s="611"/>
      <c r="E64" s="611"/>
      <c r="F64" s="611"/>
      <c r="G64" s="611"/>
      <c r="H64" s="611"/>
      <c r="I64" s="611"/>
      <c r="J64" s="612"/>
    </row>
    <row r="65" spans="1:10" ht="12.75" customHeight="1" x14ac:dyDescent="0.2">
      <c r="A65" s="610"/>
      <c r="B65" s="611"/>
      <c r="C65" s="611"/>
      <c r="D65" s="611"/>
      <c r="E65" s="611"/>
      <c r="F65" s="611"/>
      <c r="G65" s="611"/>
      <c r="H65" s="611"/>
      <c r="I65" s="611"/>
      <c r="J65" s="612"/>
    </row>
    <row r="66" spans="1:10" ht="12.75" customHeight="1" x14ac:dyDescent="0.2">
      <c r="A66" s="610"/>
      <c r="B66" s="611"/>
      <c r="C66" s="611"/>
      <c r="D66" s="611"/>
      <c r="E66" s="611"/>
      <c r="F66" s="611"/>
      <c r="G66" s="611"/>
      <c r="H66" s="611"/>
      <c r="I66" s="611"/>
      <c r="J66" s="612"/>
    </row>
    <row r="67" spans="1:10" ht="12.75" customHeight="1" x14ac:dyDescent="0.2">
      <c r="A67" s="610"/>
      <c r="B67" s="611"/>
      <c r="C67" s="611"/>
      <c r="D67" s="611"/>
      <c r="E67" s="611"/>
      <c r="F67" s="611"/>
      <c r="G67" s="611"/>
      <c r="H67" s="611"/>
      <c r="I67" s="611"/>
      <c r="J67" s="612"/>
    </row>
    <row r="68" spans="1:10" ht="12.75" customHeight="1" x14ac:dyDescent="0.2">
      <c r="A68" s="610"/>
      <c r="B68" s="611"/>
      <c r="C68" s="611"/>
      <c r="D68" s="611"/>
      <c r="E68" s="611"/>
      <c r="F68" s="611"/>
      <c r="G68" s="611"/>
      <c r="H68" s="611"/>
      <c r="I68" s="611"/>
      <c r="J68" s="612"/>
    </row>
    <row r="69" spans="1:10" ht="12.75" customHeight="1" x14ac:dyDescent="0.2">
      <c r="A69" s="610"/>
      <c r="B69" s="611"/>
      <c r="C69" s="611"/>
      <c r="D69" s="611"/>
      <c r="E69" s="611"/>
      <c r="F69" s="611"/>
      <c r="G69" s="611"/>
      <c r="H69" s="611"/>
      <c r="I69" s="611"/>
      <c r="J69" s="612"/>
    </row>
    <row r="70" spans="1:10" ht="12.75" customHeight="1" x14ac:dyDescent="0.2">
      <c r="A70" s="610"/>
      <c r="B70" s="611"/>
      <c r="C70" s="611"/>
      <c r="D70" s="611"/>
      <c r="E70" s="611"/>
      <c r="F70" s="611"/>
      <c r="G70" s="611"/>
      <c r="H70" s="611"/>
      <c r="I70" s="611"/>
      <c r="J70" s="612"/>
    </row>
    <row r="71" spans="1:10" ht="12.75" customHeight="1" x14ac:dyDescent="0.2">
      <c r="A71" s="610"/>
      <c r="B71" s="611"/>
      <c r="C71" s="611"/>
      <c r="D71" s="611"/>
      <c r="E71" s="611"/>
      <c r="F71" s="611"/>
      <c r="G71" s="611"/>
      <c r="H71" s="611"/>
      <c r="I71" s="611"/>
      <c r="J71" s="612"/>
    </row>
    <row r="72" spans="1:10" ht="12.75" customHeight="1" x14ac:dyDescent="0.2">
      <c r="A72" s="610"/>
      <c r="B72" s="611"/>
      <c r="C72" s="611"/>
      <c r="D72" s="611"/>
      <c r="E72" s="611"/>
      <c r="F72" s="611"/>
      <c r="G72" s="611"/>
      <c r="H72" s="611"/>
      <c r="I72" s="611"/>
      <c r="J72" s="612"/>
    </row>
    <row r="73" spans="1:10" ht="12.75" customHeight="1" x14ac:dyDescent="0.2">
      <c r="A73" s="610"/>
      <c r="B73" s="611"/>
      <c r="C73" s="611"/>
      <c r="D73" s="611"/>
      <c r="E73" s="611"/>
      <c r="F73" s="611"/>
      <c r="G73" s="611"/>
      <c r="H73" s="611"/>
      <c r="I73" s="611"/>
      <c r="J73" s="612"/>
    </row>
    <row r="74" spans="1:10" ht="12.75" customHeight="1" x14ac:dyDescent="0.2">
      <c r="A74" s="610"/>
      <c r="B74" s="611"/>
      <c r="C74" s="611"/>
      <c r="D74" s="611"/>
      <c r="E74" s="611"/>
      <c r="F74" s="611"/>
      <c r="G74" s="611"/>
      <c r="H74" s="611"/>
      <c r="I74" s="611"/>
      <c r="J74" s="612"/>
    </row>
    <row r="75" spans="1:10" ht="12.75" customHeight="1" x14ac:dyDescent="0.2">
      <c r="A75" s="610"/>
      <c r="B75" s="611"/>
      <c r="C75" s="611"/>
      <c r="D75" s="611"/>
      <c r="E75" s="611"/>
      <c r="F75" s="611"/>
      <c r="G75" s="611"/>
      <c r="H75" s="611"/>
      <c r="I75" s="611"/>
      <c r="J75" s="612"/>
    </row>
    <row r="76" spans="1:10" ht="12.75" customHeight="1" x14ac:dyDescent="0.2">
      <c r="A76" s="610"/>
      <c r="B76" s="611"/>
      <c r="C76" s="611"/>
      <c r="D76" s="611"/>
      <c r="E76" s="611"/>
      <c r="F76" s="611"/>
      <c r="G76" s="611"/>
      <c r="H76" s="611"/>
      <c r="I76" s="611"/>
      <c r="J76" s="612"/>
    </row>
    <row r="77" spans="1:10" ht="12.75" customHeight="1" x14ac:dyDescent="0.2">
      <c r="A77" s="610"/>
      <c r="B77" s="611"/>
      <c r="C77" s="611"/>
      <c r="D77" s="611"/>
      <c r="E77" s="611"/>
      <c r="F77" s="611"/>
      <c r="G77" s="611"/>
      <c r="H77" s="611"/>
      <c r="I77" s="611"/>
      <c r="J77" s="612"/>
    </row>
    <row r="78" spans="1:10" ht="12.75" customHeight="1" x14ac:dyDescent="0.2">
      <c r="A78" s="610"/>
      <c r="B78" s="611"/>
      <c r="C78" s="611"/>
      <c r="D78" s="611"/>
      <c r="E78" s="611"/>
      <c r="F78" s="611"/>
      <c r="G78" s="611"/>
      <c r="H78" s="611"/>
      <c r="I78" s="611"/>
      <c r="J78" s="612"/>
    </row>
    <row r="79" spans="1:10" ht="12.75" customHeight="1" x14ac:dyDescent="0.2">
      <c r="A79" s="610"/>
      <c r="B79" s="611"/>
      <c r="C79" s="611"/>
      <c r="D79" s="611"/>
      <c r="E79" s="611"/>
      <c r="F79" s="611"/>
      <c r="G79" s="611"/>
      <c r="H79" s="611"/>
      <c r="I79" s="611"/>
      <c r="J79" s="612"/>
    </row>
    <row r="80" spans="1:10" ht="12.75" customHeight="1" x14ac:dyDescent="0.2">
      <c r="A80" s="610"/>
      <c r="B80" s="611"/>
      <c r="C80" s="611"/>
      <c r="D80" s="611"/>
      <c r="E80" s="611"/>
      <c r="F80" s="611"/>
      <c r="G80" s="611"/>
      <c r="H80" s="611"/>
      <c r="I80" s="611"/>
      <c r="J80" s="612"/>
    </row>
    <row r="81" spans="1:10" ht="12.75" customHeight="1" x14ac:dyDescent="0.2">
      <c r="A81" s="610"/>
      <c r="B81" s="611"/>
      <c r="C81" s="611"/>
      <c r="D81" s="611"/>
      <c r="E81" s="611"/>
      <c r="F81" s="611"/>
      <c r="G81" s="611"/>
      <c r="H81" s="611"/>
      <c r="I81" s="611"/>
      <c r="J81" s="612"/>
    </row>
    <row r="82" spans="1:10" ht="12.75" customHeight="1" x14ac:dyDescent="0.2">
      <c r="A82" s="610"/>
      <c r="B82" s="611"/>
      <c r="C82" s="611"/>
      <c r="D82" s="611"/>
      <c r="E82" s="611"/>
      <c r="F82" s="611"/>
      <c r="G82" s="611"/>
      <c r="H82" s="611"/>
      <c r="I82" s="611"/>
      <c r="J82" s="612"/>
    </row>
    <row r="83" spans="1:10" ht="12.75" customHeight="1" x14ac:dyDescent="0.2">
      <c r="A83" s="610"/>
      <c r="B83" s="611"/>
      <c r="C83" s="611"/>
      <c r="D83" s="611"/>
      <c r="E83" s="611"/>
      <c r="F83" s="611"/>
      <c r="G83" s="611"/>
      <c r="H83" s="611"/>
      <c r="I83" s="611"/>
      <c r="J83" s="612"/>
    </row>
    <row r="84" spans="1:10" ht="12.75" customHeight="1" x14ac:dyDescent="0.2">
      <c r="A84" s="610"/>
      <c r="B84" s="611"/>
      <c r="C84" s="611"/>
      <c r="D84" s="611"/>
      <c r="E84" s="611"/>
      <c r="F84" s="611"/>
      <c r="G84" s="611"/>
      <c r="H84" s="611"/>
      <c r="I84" s="611"/>
      <c r="J84" s="612"/>
    </row>
    <row r="85" spans="1:10" s="61" customFormat="1" x14ac:dyDescent="0.2">
      <c r="A85" s="55"/>
      <c r="B85" s="56"/>
      <c r="C85" s="57"/>
      <c r="D85" s="58"/>
      <c r="E85" s="58"/>
      <c r="F85" s="58"/>
      <c r="G85" s="58"/>
      <c r="H85" s="59"/>
      <c r="I85" s="57"/>
      <c r="J85" s="60"/>
    </row>
    <row r="86" spans="1:10" s="61" customFormat="1" ht="25.5" customHeight="1" x14ac:dyDescent="0.2">
      <c r="A86" s="619" t="s">
        <v>202</v>
      </c>
      <c r="B86" s="620"/>
      <c r="C86" s="620"/>
      <c r="D86" s="620"/>
      <c r="E86" s="620"/>
      <c r="F86" s="621"/>
      <c r="G86" s="622"/>
      <c r="H86" s="622"/>
      <c r="I86" s="622"/>
      <c r="J86" s="623"/>
    </row>
    <row r="87" spans="1:10" s="61" customFormat="1" ht="12.75" customHeight="1" x14ac:dyDescent="0.2">
      <c r="A87" s="348" t="s">
        <v>301</v>
      </c>
      <c r="B87" s="349"/>
      <c r="C87" s="349"/>
      <c r="D87" s="349"/>
      <c r="E87" s="349"/>
      <c r="F87" s="614"/>
      <c r="G87" s="614"/>
      <c r="H87" s="614"/>
      <c r="I87" s="614"/>
      <c r="J87" s="615"/>
    </row>
    <row r="88" spans="1:10" ht="12.75" customHeight="1" x14ac:dyDescent="0.2">
      <c r="A88" s="593" t="s">
        <v>368</v>
      </c>
      <c r="B88" s="594"/>
      <c r="C88" s="594"/>
      <c r="D88" s="594"/>
      <c r="E88" s="594"/>
      <c r="F88" s="594"/>
      <c r="G88" s="594"/>
      <c r="H88" s="594"/>
      <c r="I88" s="594"/>
      <c r="J88" s="595"/>
    </row>
    <row r="89" spans="1:10" ht="12.75" customHeight="1" x14ac:dyDescent="0.2">
      <c r="A89" s="596"/>
      <c r="B89" s="597"/>
      <c r="C89" s="597"/>
      <c r="D89" s="597"/>
      <c r="E89" s="597"/>
      <c r="F89" s="597"/>
      <c r="G89" s="597"/>
      <c r="H89" s="597"/>
      <c r="I89" s="597"/>
      <c r="J89" s="598"/>
    </row>
    <row r="90" spans="1:10" ht="12.75" customHeight="1" x14ac:dyDescent="0.2">
      <c r="A90" s="596"/>
      <c r="B90" s="597"/>
      <c r="C90" s="597"/>
      <c r="D90" s="597"/>
      <c r="E90" s="597"/>
      <c r="F90" s="597"/>
      <c r="G90" s="597"/>
      <c r="H90" s="597"/>
      <c r="I90" s="597"/>
      <c r="J90" s="598"/>
    </row>
    <row r="91" spans="1:10" ht="15" customHeight="1" x14ac:dyDescent="0.2">
      <c r="A91" s="599"/>
      <c r="B91" s="600"/>
      <c r="C91" s="600"/>
      <c r="D91" s="600"/>
      <c r="E91" s="600"/>
      <c r="F91" s="600"/>
      <c r="G91" s="600"/>
      <c r="H91" s="600"/>
      <c r="I91" s="600"/>
      <c r="J91" s="601"/>
    </row>
    <row r="92" spans="1:10" ht="12.75" customHeight="1" x14ac:dyDescent="0.2">
      <c r="A92" s="610"/>
      <c r="B92" s="611"/>
      <c r="C92" s="611"/>
      <c r="D92" s="611"/>
      <c r="E92" s="611"/>
      <c r="F92" s="611"/>
      <c r="G92" s="611"/>
      <c r="H92" s="611"/>
      <c r="I92" s="611"/>
      <c r="J92" s="612"/>
    </row>
    <row r="93" spans="1:10" ht="12.75" customHeight="1" x14ac:dyDescent="0.2">
      <c r="A93" s="610"/>
      <c r="B93" s="611"/>
      <c r="C93" s="611"/>
      <c r="D93" s="611"/>
      <c r="E93" s="611"/>
      <c r="F93" s="611"/>
      <c r="G93" s="611"/>
      <c r="H93" s="611"/>
      <c r="I93" s="611"/>
      <c r="J93" s="612"/>
    </row>
    <row r="94" spans="1:10" ht="12.75" customHeight="1" x14ac:dyDescent="0.2">
      <c r="A94" s="610"/>
      <c r="B94" s="611"/>
      <c r="C94" s="611"/>
      <c r="D94" s="611"/>
      <c r="E94" s="611"/>
      <c r="F94" s="611"/>
      <c r="G94" s="611"/>
      <c r="H94" s="611"/>
      <c r="I94" s="611"/>
      <c r="J94" s="612"/>
    </row>
    <row r="95" spans="1:10" ht="12.75" customHeight="1" x14ac:dyDescent="0.2">
      <c r="A95" s="610"/>
      <c r="B95" s="611"/>
      <c r="C95" s="611"/>
      <c r="D95" s="611"/>
      <c r="E95" s="611"/>
      <c r="F95" s="611"/>
      <c r="G95" s="611"/>
      <c r="H95" s="611"/>
      <c r="I95" s="611"/>
      <c r="J95" s="612"/>
    </row>
    <row r="96" spans="1:10" ht="12.75" customHeight="1" x14ac:dyDescent="0.2">
      <c r="A96" s="610"/>
      <c r="B96" s="611"/>
      <c r="C96" s="611"/>
      <c r="D96" s="611"/>
      <c r="E96" s="611"/>
      <c r="F96" s="611"/>
      <c r="G96" s="611"/>
      <c r="H96" s="611"/>
      <c r="I96" s="611"/>
      <c r="J96" s="612"/>
    </row>
    <row r="97" spans="1:10" ht="12.75" customHeight="1" x14ac:dyDescent="0.2">
      <c r="A97" s="610"/>
      <c r="B97" s="611"/>
      <c r="C97" s="611"/>
      <c r="D97" s="611"/>
      <c r="E97" s="611"/>
      <c r="F97" s="611"/>
      <c r="G97" s="611"/>
      <c r="H97" s="611"/>
      <c r="I97" s="611"/>
      <c r="J97" s="612"/>
    </row>
    <row r="98" spans="1:10" ht="12.75" customHeight="1" x14ac:dyDescent="0.2">
      <c r="A98" s="610"/>
      <c r="B98" s="611"/>
      <c r="C98" s="611"/>
      <c r="D98" s="611"/>
      <c r="E98" s="611"/>
      <c r="F98" s="611"/>
      <c r="G98" s="611"/>
      <c r="H98" s="611"/>
      <c r="I98" s="611"/>
      <c r="J98" s="612"/>
    </row>
    <row r="99" spans="1:10" ht="12.75" customHeight="1" x14ac:dyDescent="0.2">
      <c r="A99" s="610"/>
      <c r="B99" s="611"/>
      <c r="C99" s="611"/>
      <c r="D99" s="611"/>
      <c r="E99" s="611"/>
      <c r="F99" s="611"/>
      <c r="G99" s="611"/>
      <c r="H99" s="611"/>
      <c r="I99" s="611"/>
      <c r="J99" s="612"/>
    </row>
    <row r="100" spans="1:10" ht="12.75" customHeight="1" x14ac:dyDescent="0.2">
      <c r="A100" s="610"/>
      <c r="B100" s="611"/>
      <c r="C100" s="611"/>
      <c r="D100" s="611"/>
      <c r="E100" s="611"/>
      <c r="F100" s="611"/>
      <c r="G100" s="611"/>
      <c r="H100" s="611"/>
      <c r="I100" s="611"/>
      <c r="J100" s="612"/>
    </row>
    <row r="101" spans="1:10" ht="12.75" customHeight="1" x14ac:dyDescent="0.2">
      <c r="A101" s="610"/>
      <c r="B101" s="611"/>
      <c r="C101" s="611"/>
      <c r="D101" s="611"/>
      <c r="E101" s="611"/>
      <c r="F101" s="611"/>
      <c r="G101" s="611"/>
      <c r="H101" s="611"/>
      <c r="I101" s="611"/>
      <c r="J101" s="612"/>
    </row>
    <row r="102" spans="1:10" ht="12.75" customHeight="1" x14ac:dyDescent="0.2">
      <c r="A102" s="610"/>
      <c r="B102" s="611"/>
      <c r="C102" s="611"/>
      <c r="D102" s="611"/>
      <c r="E102" s="611"/>
      <c r="F102" s="611"/>
      <c r="G102" s="611"/>
      <c r="H102" s="611"/>
      <c r="I102" s="611"/>
      <c r="J102" s="612"/>
    </row>
    <row r="103" spans="1:10" ht="12.75" customHeight="1" x14ac:dyDescent="0.2">
      <c r="A103" s="610"/>
      <c r="B103" s="611"/>
      <c r="C103" s="611"/>
      <c r="D103" s="611"/>
      <c r="E103" s="611"/>
      <c r="F103" s="611"/>
      <c r="G103" s="611"/>
      <c r="H103" s="611"/>
      <c r="I103" s="611"/>
      <c r="J103" s="612"/>
    </row>
    <row r="104" spans="1:10" ht="12.75" customHeight="1" x14ac:dyDescent="0.2">
      <c r="A104" s="610"/>
      <c r="B104" s="611"/>
      <c r="C104" s="611"/>
      <c r="D104" s="611"/>
      <c r="E104" s="611"/>
      <c r="F104" s="611"/>
      <c r="G104" s="611"/>
      <c r="H104" s="611"/>
      <c r="I104" s="611"/>
      <c r="J104" s="612"/>
    </row>
    <row r="105" spans="1:10" ht="12.75" customHeight="1" x14ac:dyDescent="0.2">
      <c r="A105" s="610"/>
      <c r="B105" s="611"/>
      <c r="C105" s="611"/>
      <c r="D105" s="611"/>
      <c r="E105" s="611"/>
      <c r="F105" s="611"/>
      <c r="G105" s="611"/>
      <c r="H105" s="611"/>
      <c r="I105" s="611"/>
      <c r="J105" s="612"/>
    </row>
    <row r="106" spans="1:10" ht="12.75" customHeight="1" x14ac:dyDescent="0.2">
      <c r="A106" s="610"/>
      <c r="B106" s="611"/>
      <c r="C106" s="611"/>
      <c r="D106" s="611"/>
      <c r="E106" s="611"/>
      <c r="F106" s="611"/>
      <c r="G106" s="611"/>
      <c r="H106" s="611"/>
      <c r="I106" s="611"/>
      <c r="J106" s="612"/>
    </row>
    <row r="107" spans="1:10" ht="12.75" customHeight="1" x14ac:dyDescent="0.2">
      <c r="A107" s="610"/>
      <c r="B107" s="611"/>
      <c r="C107" s="611"/>
      <c r="D107" s="611"/>
      <c r="E107" s="611"/>
      <c r="F107" s="611"/>
      <c r="G107" s="611"/>
      <c r="H107" s="611"/>
      <c r="I107" s="611"/>
      <c r="J107" s="612"/>
    </row>
    <row r="108" spans="1:10" ht="12.75" customHeight="1" x14ac:dyDescent="0.2">
      <c r="A108" s="610"/>
      <c r="B108" s="611"/>
      <c r="C108" s="611"/>
      <c r="D108" s="611"/>
      <c r="E108" s="611"/>
      <c r="F108" s="611"/>
      <c r="G108" s="611"/>
      <c r="H108" s="611"/>
      <c r="I108" s="611"/>
      <c r="J108" s="612"/>
    </row>
    <row r="109" spans="1:10" ht="12.75" customHeight="1" x14ac:dyDescent="0.2">
      <c r="A109" s="610"/>
      <c r="B109" s="611"/>
      <c r="C109" s="611"/>
      <c r="D109" s="611"/>
      <c r="E109" s="611"/>
      <c r="F109" s="611"/>
      <c r="G109" s="611"/>
      <c r="H109" s="611"/>
      <c r="I109" s="611"/>
      <c r="J109" s="612"/>
    </row>
    <row r="110" spans="1:10" ht="12.75" customHeight="1" x14ac:dyDescent="0.2">
      <c r="A110" s="610"/>
      <c r="B110" s="611"/>
      <c r="C110" s="611"/>
      <c r="D110" s="611"/>
      <c r="E110" s="611"/>
      <c r="F110" s="611"/>
      <c r="G110" s="611"/>
      <c r="H110" s="611"/>
      <c r="I110" s="611"/>
      <c r="J110" s="612"/>
    </row>
    <row r="111" spans="1:10" ht="12.75" customHeight="1" x14ac:dyDescent="0.2">
      <c r="A111" s="610"/>
      <c r="B111" s="611"/>
      <c r="C111" s="611"/>
      <c r="D111" s="611"/>
      <c r="E111" s="611"/>
      <c r="F111" s="611"/>
      <c r="G111" s="611"/>
      <c r="H111" s="611"/>
      <c r="I111" s="611"/>
      <c r="J111" s="612"/>
    </row>
    <row r="112" spans="1:10" ht="12.75" customHeight="1" x14ac:dyDescent="0.2">
      <c r="A112" s="610"/>
      <c r="B112" s="611"/>
      <c r="C112" s="611"/>
      <c r="D112" s="611"/>
      <c r="E112" s="611"/>
      <c r="F112" s="611"/>
      <c r="G112" s="611"/>
      <c r="H112" s="611"/>
      <c r="I112" s="611"/>
      <c r="J112" s="612"/>
    </row>
    <row r="113" spans="1:10" ht="12.75" customHeight="1" x14ac:dyDescent="0.2">
      <c r="A113" s="610"/>
      <c r="B113" s="611"/>
      <c r="C113" s="611"/>
      <c r="D113" s="611"/>
      <c r="E113" s="611"/>
      <c r="F113" s="611"/>
      <c r="G113" s="611"/>
      <c r="H113" s="611"/>
      <c r="I113" s="611"/>
      <c r="J113" s="612"/>
    </row>
    <row r="114" spans="1:10" ht="12.75" customHeight="1" x14ac:dyDescent="0.2">
      <c r="A114" s="610"/>
      <c r="B114" s="611"/>
      <c r="C114" s="611"/>
      <c r="D114" s="611"/>
      <c r="E114" s="611"/>
      <c r="F114" s="611"/>
      <c r="G114" s="611"/>
      <c r="H114" s="611"/>
      <c r="I114" s="611"/>
      <c r="J114" s="612"/>
    </row>
    <row r="115" spans="1:10" ht="12.75" customHeight="1" x14ac:dyDescent="0.2">
      <c r="A115" s="610"/>
      <c r="B115" s="611"/>
      <c r="C115" s="611"/>
      <c r="D115" s="611"/>
      <c r="E115" s="611"/>
      <c r="F115" s="611"/>
      <c r="G115" s="611"/>
      <c r="H115" s="611"/>
      <c r="I115" s="611"/>
      <c r="J115" s="612"/>
    </row>
    <row r="116" spans="1:10" ht="12.75" customHeight="1" x14ac:dyDescent="0.2">
      <c r="A116" s="610"/>
      <c r="B116" s="611"/>
      <c r="C116" s="611"/>
      <c r="D116" s="611"/>
      <c r="E116" s="611"/>
      <c r="F116" s="611"/>
      <c r="G116" s="611"/>
      <c r="H116" s="611"/>
      <c r="I116" s="611"/>
      <c r="J116" s="612"/>
    </row>
    <row r="117" spans="1:10" ht="12.75" customHeight="1" x14ac:dyDescent="0.2">
      <c r="A117" s="610"/>
      <c r="B117" s="611"/>
      <c r="C117" s="611"/>
      <c r="D117" s="611"/>
      <c r="E117" s="611"/>
      <c r="F117" s="611"/>
      <c r="G117" s="611"/>
      <c r="H117" s="611"/>
      <c r="I117" s="611"/>
      <c r="J117" s="612"/>
    </row>
    <row r="118" spans="1:10" ht="12.75" customHeight="1" x14ac:dyDescent="0.2">
      <c r="A118" s="610"/>
      <c r="B118" s="611"/>
      <c r="C118" s="611"/>
      <c r="D118" s="611"/>
      <c r="E118" s="611"/>
      <c r="F118" s="611"/>
      <c r="G118" s="611"/>
      <c r="H118" s="611"/>
      <c r="I118" s="611"/>
      <c r="J118" s="612"/>
    </row>
    <row r="119" spans="1:10" ht="12.75" customHeight="1" x14ac:dyDescent="0.2">
      <c r="A119" s="610"/>
      <c r="B119" s="611"/>
      <c r="C119" s="611"/>
      <c r="D119" s="611"/>
      <c r="E119" s="611"/>
      <c r="F119" s="611"/>
      <c r="G119" s="611"/>
      <c r="H119" s="611"/>
      <c r="I119" s="611"/>
      <c r="J119" s="612"/>
    </row>
    <row r="120" spans="1:10" ht="12.75" customHeight="1" x14ac:dyDescent="0.2">
      <c r="A120" s="610"/>
      <c r="B120" s="611"/>
      <c r="C120" s="611"/>
      <c r="D120" s="611"/>
      <c r="E120" s="611"/>
      <c r="F120" s="611"/>
      <c r="G120" s="611"/>
      <c r="H120" s="611"/>
      <c r="I120" s="611"/>
      <c r="J120" s="612"/>
    </row>
    <row r="121" spans="1:10" ht="12.75" customHeight="1" x14ac:dyDescent="0.2">
      <c r="A121" s="610"/>
      <c r="B121" s="611"/>
      <c r="C121" s="611"/>
      <c r="D121" s="611"/>
      <c r="E121" s="611"/>
      <c r="F121" s="611"/>
      <c r="G121" s="611"/>
      <c r="H121" s="611"/>
      <c r="I121" s="611"/>
      <c r="J121" s="612"/>
    </row>
    <row r="122" spans="1:10" ht="12.75" customHeight="1" x14ac:dyDescent="0.2">
      <c r="A122" s="610"/>
      <c r="B122" s="611"/>
      <c r="C122" s="611"/>
      <c r="D122" s="611"/>
      <c r="E122" s="611"/>
      <c r="F122" s="611"/>
      <c r="G122" s="611"/>
      <c r="H122" s="611"/>
      <c r="I122" s="611"/>
      <c r="J122" s="612"/>
    </row>
    <row r="123" spans="1:10" ht="12.75" customHeight="1" x14ac:dyDescent="0.2">
      <c r="A123" s="610"/>
      <c r="B123" s="611"/>
      <c r="C123" s="611"/>
      <c r="D123" s="611"/>
      <c r="E123" s="611"/>
      <c r="F123" s="611"/>
      <c r="G123" s="611"/>
      <c r="H123" s="611"/>
      <c r="I123" s="611"/>
      <c r="J123" s="612"/>
    </row>
    <row r="124" spans="1:10" ht="12.75" customHeight="1" x14ac:dyDescent="0.2">
      <c r="A124" s="610"/>
      <c r="B124" s="611"/>
      <c r="C124" s="611"/>
      <c r="D124" s="611"/>
      <c r="E124" s="611"/>
      <c r="F124" s="611"/>
      <c r="G124" s="611"/>
      <c r="H124" s="611"/>
      <c r="I124" s="611"/>
      <c r="J124" s="612"/>
    </row>
    <row r="125" spans="1:10" ht="12.75" customHeight="1" x14ac:dyDescent="0.2">
      <c r="A125" s="610"/>
      <c r="B125" s="611"/>
      <c r="C125" s="611"/>
      <c r="D125" s="611"/>
      <c r="E125" s="611"/>
      <c r="F125" s="611"/>
      <c r="G125" s="611"/>
      <c r="H125" s="611"/>
      <c r="I125" s="611"/>
      <c r="J125" s="612"/>
    </row>
    <row r="126" spans="1:10" ht="12.75" customHeight="1" x14ac:dyDescent="0.2">
      <c r="A126" s="610"/>
      <c r="B126" s="611"/>
      <c r="C126" s="611"/>
      <c r="D126" s="611"/>
      <c r="E126" s="611"/>
      <c r="F126" s="611"/>
      <c r="G126" s="611"/>
      <c r="H126" s="611"/>
      <c r="I126" s="611"/>
      <c r="J126" s="612"/>
    </row>
    <row r="127" spans="1:10" s="61" customFormat="1" x14ac:dyDescent="0.2">
      <c r="A127" s="55"/>
      <c r="B127" s="56"/>
      <c r="C127" s="57"/>
      <c r="D127" s="58"/>
      <c r="E127" s="58"/>
      <c r="F127" s="58"/>
      <c r="G127" s="58"/>
      <c r="H127" s="59"/>
      <c r="I127" s="57"/>
      <c r="J127" s="60"/>
    </row>
    <row r="128" spans="1:10" s="61" customFormat="1" ht="25.5" customHeight="1" x14ac:dyDescent="0.2">
      <c r="A128" s="619" t="s">
        <v>201</v>
      </c>
      <c r="B128" s="620"/>
      <c r="C128" s="620"/>
      <c r="D128" s="620"/>
      <c r="E128" s="620"/>
      <c r="F128" s="621"/>
      <c r="G128" s="622"/>
      <c r="H128" s="622"/>
      <c r="I128" s="622"/>
      <c r="J128" s="623"/>
    </row>
    <row r="129" spans="1:10" s="61" customFormat="1" ht="12.75" customHeight="1" x14ac:dyDescent="0.2">
      <c r="A129" s="348" t="s">
        <v>301</v>
      </c>
      <c r="B129" s="349"/>
      <c r="C129" s="349"/>
      <c r="D129" s="349"/>
      <c r="E129" s="349"/>
      <c r="F129" s="614"/>
      <c r="G129" s="614"/>
      <c r="H129" s="614"/>
      <c r="I129" s="614"/>
      <c r="J129" s="615"/>
    </row>
    <row r="130" spans="1:10" ht="12.75" customHeight="1" x14ac:dyDescent="0.2">
      <c r="A130" s="593" t="s">
        <v>368</v>
      </c>
      <c r="B130" s="594"/>
      <c r="C130" s="594"/>
      <c r="D130" s="594"/>
      <c r="E130" s="594"/>
      <c r="F130" s="594"/>
      <c r="G130" s="594"/>
      <c r="H130" s="594"/>
      <c r="I130" s="594"/>
      <c r="J130" s="595"/>
    </row>
    <row r="131" spans="1:10" ht="12.75" customHeight="1" x14ac:dyDescent="0.2">
      <c r="A131" s="596"/>
      <c r="B131" s="597"/>
      <c r="C131" s="597"/>
      <c r="D131" s="597"/>
      <c r="E131" s="597"/>
      <c r="F131" s="597"/>
      <c r="G131" s="597"/>
      <c r="H131" s="597"/>
      <c r="I131" s="597"/>
      <c r="J131" s="598"/>
    </row>
    <row r="132" spans="1:10" ht="12.75" customHeight="1" x14ac:dyDescent="0.2">
      <c r="A132" s="596"/>
      <c r="B132" s="597"/>
      <c r="C132" s="597"/>
      <c r="D132" s="597"/>
      <c r="E132" s="597"/>
      <c r="F132" s="597"/>
      <c r="G132" s="597"/>
      <c r="H132" s="597"/>
      <c r="I132" s="597"/>
      <c r="J132" s="598"/>
    </row>
    <row r="133" spans="1:10" ht="15" customHeight="1" x14ac:dyDescent="0.2">
      <c r="A133" s="599"/>
      <c r="B133" s="600"/>
      <c r="C133" s="600"/>
      <c r="D133" s="600"/>
      <c r="E133" s="600"/>
      <c r="F133" s="600"/>
      <c r="G133" s="600"/>
      <c r="H133" s="600"/>
      <c r="I133" s="600"/>
      <c r="J133" s="601"/>
    </row>
    <row r="134" spans="1:10" ht="12.75" customHeight="1" x14ac:dyDescent="0.2">
      <c r="A134" s="610"/>
      <c r="B134" s="611"/>
      <c r="C134" s="611"/>
      <c r="D134" s="611"/>
      <c r="E134" s="611"/>
      <c r="F134" s="611"/>
      <c r="G134" s="611"/>
      <c r="H134" s="611"/>
      <c r="I134" s="611"/>
      <c r="J134" s="612"/>
    </row>
    <row r="135" spans="1:10" ht="12.75" customHeight="1" x14ac:dyDescent="0.2">
      <c r="A135" s="610"/>
      <c r="B135" s="611"/>
      <c r="C135" s="611"/>
      <c r="D135" s="611"/>
      <c r="E135" s="611"/>
      <c r="F135" s="611"/>
      <c r="G135" s="611"/>
      <c r="H135" s="611"/>
      <c r="I135" s="611"/>
      <c r="J135" s="612"/>
    </row>
    <row r="136" spans="1:10" ht="12.75" customHeight="1" x14ac:dyDescent="0.2">
      <c r="A136" s="610"/>
      <c r="B136" s="611"/>
      <c r="C136" s="611"/>
      <c r="D136" s="611"/>
      <c r="E136" s="611"/>
      <c r="F136" s="611"/>
      <c r="G136" s="611"/>
      <c r="H136" s="611"/>
      <c r="I136" s="611"/>
      <c r="J136" s="612"/>
    </row>
    <row r="137" spans="1:10" ht="12.75" customHeight="1" x14ac:dyDescent="0.2">
      <c r="A137" s="610"/>
      <c r="B137" s="611"/>
      <c r="C137" s="611"/>
      <c r="D137" s="611"/>
      <c r="E137" s="611"/>
      <c r="F137" s="611"/>
      <c r="G137" s="611"/>
      <c r="H137" s="611"/>
      <c r="I137" s="611"/>
      <c r="J137" s="612"/>
    </row>
    <row r="138" spans="1:10" ht="12.75" customHeight="1" x14ac:dyDescent="0.2">
      <c r="A138" s="610"/>
      <c r="B138" s="611"/>
      <c r="C138" s="611"/>
      <c r="D138" s="611"/>
      <c r="E138" s="611"/>
      <c r="F138" s="611"/>
      <c r="G138" s="611"/>
      <c r="H138" s="611"/>
      <c r="I138" s="611"/>
      <c r="J138" s="612"/>
    </row>
    <row r="139" spans="1:10" ht="12.75" customHeight="1" x14ac:dyDescent="0.2">
      <c r="A139" s="610"/>
      <c r="B139" s="611"/>
      <c r="C139" s="611"/>
      <c r="D139" s="611"/>
      <c r="E139" s="611"/>
      <c r="F139" s="611"/>
      <c r="G139" s="611"/>
      <c r="H139" s="611"/>
      <c r="I139" s="611"/>
      <c r="J139" s="612"/>
    </row>
    <row r="140" spans="1:10" ht="12.75" customHeight="1" x14ac:dyDescent="0.2">
      <c r="A140" s="610"/>
      <c r="B140" s="611"/>
      <c r="C140" s="611"/>
      <c r="D140" s="611"/>
      <c r="E140" s="611"/>
      <c r="F140" s="611"/>
      <c r="G140" s="611"/>
      <c r="H140" s="611"/>
      <c r="I140" s="611"/>
      <c r="J140" s="612"/>
    </row>
    <row r="141" spans="1:10" ht="12.75" customHeight="1" x14ac:dyDescent="0.2">
      <c r="A141" s="610"/>
      <c r="B141" s="611"/>
      <c r="C141" s="611"/>
      <c r="D141" s="611"/>
      <c r="E141" s="611"/>
      <c r="F141" s="611"/>
      <c r="G141" s="611"/>
      <c r="H141" s="611"/>
      <c r="I141" s="611"/>
      <c r="J141" s="612"/>
    </row>
    <row r="142" spans="1:10" ht="12.75" customHeight="1" x14ac:dyDescent="0.2">
      <c r="A142" s="610"/>
      <c r="B142" s="611"/>
      <c r="C142" s="611"/>
      <c r="D142" s="611"/>
      <c r="E142" s="611"/>
      <c r="F142" s="611"/>
      <c r="G142" s="611"/>
      <c r="H142" s="611"/>
      <c r="I142" s="611"/>
      <c r="J142" s="612"/>
    </row>
    <row r="143" spans="1:10" ht="12.75" customHeight="1" x14ac:dyDescent="0.2">
      <c r="A143" s="610"/>
      <c r="B143" s="611"/>
      <c r="C143" s="611"/>
      <c r="D143" s="611"/>
      <c r="E143" s="611"/>
      <c r="F143" s="611"/>
      <c r="G143" s="611"/>
      <c r="H143" s="611"/>
      <c r="I143" s="611"/>
      <c r="J143" s="612"/>
    </row>
    <row r="144" spans="1:10" ht="12.75" customHeight="1" x14ac:dyDescent="0.2">
      <c r="A144" s="610"/>
      <c r="B144" s="611"/>
      <c r="C144" s="611"/>
      <c r="D144" s="611"/>
      <c r="E144" s="611"/>
      <c r="F144" s="611"/>
      <c r="G144" s="611"/>
      <c r="H144" s="611"/>
      <c r="I144" s="611"/>
      <c r="J144" s="612"/>
    </row>
    <row r="145" spans="1:10" ht="12.75" customHeight="1" x14ac:dyDescent="0.2">
      <c r="A145" s="610"/>
      <c r="B145" s="611"/>
      <c r="C145" s="611"/>
      <c r="D145" s="611"/>
      <c r="E145" s="611"/>
      <c r="F145" s="611"/>
      <c r="G145" s="611"/>
      <c r="H145" s="611"/>
      <c r="I145" s="611"/>
      <c r="J145" s="612"/>
    </row>
    <row r="146" spans="1:10" ht="12.75" customHeight="1" x14ac:dyDescent="0.2">
      <c r="A146" s="610"/>
      <c r="B146" s="611"/>
      <c r="C146" s="611"/>
      <c r="D146" s="611"/>
      <c r="E146" s="611"/>
      <c r="F146" s="611"/>
      <c r="G146" s="611"/>
      <c r="H146" s="611"/>
      <c r="I146" s="611"/>
      <c r="J146" s="612"/>
    </row>
    <row r="147" spans="1:10" ht="12.75" customHeight="1" x14ac:dyDescent="0.2">
      <c r="A147" s="610"/>
      <c r="B147" s="611"/>
      <c r="C147" s="611"/>
      <c r="D147" s="611"/>
      <c r="E147" s="611"/>
      <c r="F147" s="611"/>
      <c r="G147" s="611"/>
      <c r="H147" s="611"/>
      <c r="I147" s="611"/>
      <c r="J147" s="612"/>
    </row>
    <row r="148" spans="1:10" ht="12.75" customHeight="1" x14ac:dyDescent="0.2">
      <c r="A148" s="610"/>
      <c r="B148" s="611"/>
      <c r="C148" s="611"/>
      <c r="D148" s="611"/>
      <c r="E148" s="611"/>
      <c r="F148" s="611"/>
      <c r="G148" s="611"/>
      <c r="H148" s="611"/>
      <c r="I148" s="611"/>
      <c r="J148" s="612"/>
    </row>
    <row r="149" spans="1:10" ht="12.75" customHeight="1" x14ac:dyDescent="0.2">
      <c r="A149" s="610"/>
      <c r="B149" s="611"/>
      <c r="C149" s="611"/>
      <c r="D149" s="611"/>
      <c r="E149" s="611"/>
      <c r="F149" s="611"/>
      <c r="G149" s="611"/>
      <c r="H149" s="611"/>
      <c r="I149" s="611"/>
      <c r="J149" s="612"/>
    </row>
    <row r="150" spans="1:10" ht="12.75" customHeight="1" x14ac:dyDescent="0.2">
      <c r="A150" s="610"/>
      <c r="B150" s="611"/>
      <c r="C150" s="611"/>
      <c r="D150" s="611"/>
      <c r="E150" s="611"/>
      <c r="F150" s="611"/>
      <c r="G150" s="611"/>
      <c r="H150" s="611"/>
      <c r="I150" s="611"/>
      <c r="J150" s="612"/>
    </row>
    <row r="151" spans="1:10" ht="12.75" customHeight="1" x14ac:dyDescent="0.2">
      <c r="A151" s="610"/>
      <c r="B151" s="611"/>
      <c r="C151" s="611"/>
      <c r="D151" s="611"/>
      <c r="E151" s="611"/>
      <c r="F151" s="611"/>
      <c r="G151" s="611"/>
      <c r="H151" s="611"/>
      <c r="I151" s="611"/>
      <c r="J151" s="612"/>
    </row>
    <row r="152" spans="1:10" ht="12.75" customHeight="1" x14ac:dyDescent="0.2">
      <c r="A152" s="610"/>
      <c r="B152" s="611"/>
      <c r="C152" s="611"/>
      <c r="D152" s="611"/>
      <c r="E152" s="611"/>
      <c r="F152" s="611"/>
      <c r="G152" s="611"/>
      <c r="H152" s="611"/>
      <c r="I152" s="611"/>
      <c r="J152" s="612"/>
    </row>
    <row r="153" spans="1:10" ht="12.75" customHeight="1" x14ac:dyDescent="0.2">
      <c r="A153" s="610"/>
      <c r="B153" s="611"/>
      <c r="C153" s="611"/>
      <c r="D153" s="611"/>
      <c r="E153" s="611"/>
      <c r="F153" s="611"/>
      <c r="G153" s="611"/>
      <c r="H153" s="611"/>
      <c r="I153" s="611"/>
      <c r="J153" s="612"/>
    </row>
    <row r="154" spans="1:10" ht="12.75" customHeight="1" x14ac:dyDescent="0.2">
      <c r="A154" s="610"/>
      <c r="B154" s="611"/>
      <c r="C154" s="611"/>
      <c r="D154" s="611"/>
      <c r="E154" s="611"/>
      <c r="F154" s="611"/>
      <c r="G154" s="611"/>
      <c r="H154" s="611"/>
      <c r="I154" s="611"/>
      <c r="J154" s="612"/>
    </row>
    <row r="155" spans="1:10" ht="12.75" customHeight="1" x14ac:dyDescent="0.2">
      <c r="A155" s="610"/>
      <c r="B155" s="611"/>
      <c r="C155" s="611"/>
      <c r="D155" s="611"/>
      <c r="E155" s="611"/>
      <c r="F155" s="611"/>
      <c r="G155" s="611"/>
      <c r="H155" s="611"/>
      <c r="I155" s="611"/>
      <c r="J155" s="612"/>
    </row>
    <row r="156" spans="1:10" ht="12.75" customHeight="1" x14ac:dyDescent="0.2">
      <c r="A156" s="610"/>
      <c r="B156" s="611"/>
      <c r="C156" s="611"/>
      <c r="D156" s="611"/>
      <c r="E156" s="611"/>
      <c r="F156" s="611"/>
      <c r="G156" s="611"/>
      <c r="H156" s="611"/>
      <c r="I156" s="611"/>
      <c r="J156" s="612"/>
    </row>
    <row r="157" spans="1:10" ht="12.75" customHeight="1" x14ac:dyDescent="0.2">
      <c r="A157" s="610"/>
      <c r="B157" s="611"/>
      <c r="C157" s="611"/>
      <c r="D157" s="611"/>
      <c r="E157" s="611"/>
      <c r="F157" s="611"/>
      <c r="G157" s="611"/>
      <c r="H157" s="611"/>
      <c r="I157" s="611"/>
      <c r="J157" s="612"/>
    </row>
    <row r="158" spans="1:10" ht="12.75" customHeight="1" x14ac:dyDescent="0.2">
      <c r="A158" s="610"/>
      <c r="B158" s="611"/>
      <c r="C158" s="611"/>
      <c r="D158" s="611"/>
      <c r="E158" s="611"/>
      <c r="F158" s="611"/>
      <c r="G158" s="611"/>
      <c r="H158" s="611"/>
      <c r="I158" s="611"/>
      <c r="J158" s="612"/>
    </row>
    <row r="159" spans="1:10" ht="12.75" customHeight="1" x14ac:dyDescent="0.2">
      <c r="A159" s="610"/>
      <c r="B159" s="611"/>
      <c r="C159" s="611"/>
      <c r="D159" s="611"/>
      <c r="E159" s="611"/>
      <c r="F159" s="611"/>
      <c r="G159" s="611"/>
      <c r="H159" s="611"/>
      <c r="I159" s="611"/>
      <c r="J159" s="612"/>
    </row>
    <row r="160" spans="1:10" ht="12.75" customHeight="1" x14ac:dyDescent="0.2">
      <c r="A160" s="610"/>
      <c r="B160" s="611"/>
      <c r="C160" s="611"/>
      <c r="D160" s="611"/>
      <c r="E160" s="611"/>
      <c r="F160" s="611"/>
      <c r="G160" s="611"/>
      <c r="H160" s="611"/>
      <c r="I160" s="611"/>
      <c r="J160" s="612"/>
    </row>
    <row r="161" spans="1:10" ht="12.75" customHeight="1" x14ac:dyDescent="0.2">
      <c r="A161" s="610"/>
      <c r="B161" s="611"/>
      <c r="C161" s="611"/>
      <c r="D161" s="611"/>
      <c r="E161" s="611"/>
      <c r="F161" s="611"/>
      <c r="G161" s="611"/>
      <c r="H161" s="611"/>
      <c r="I161" s="611"/>
      <c r="J161" s="612"/>
    </row>
    <row r="162" spans="1:10" ht="12.75" customHeight="1" x14ac:dyDescent="0.2">
      <c r="A162" s="610"/>
      <c r="B162" s="611"/>
      <c r="C162" s="611"/>
      <c r="D162" s="611"/>
      <c r="E162" s="611"/>
      <c r="F162" s="611"/>
      <c r="G162" s="611"/>
      <c r="H162" s="611"/>
      <c r="I162" s="611"/>
      <c r="J162" s="612"/>
    </row>
    <row r="163" spans="1:10" ht="12.75" customHeight="1" x14ac:dyDescent="0.2">
      <c r="A163" s="610"/>
      <c r="B163" s="611"/>
      <c r="C163" s="611"/>
      <c r="D163" s="611"/>
      <c r="E163" s="611"/>
      <c r="F163" s="611"/>
      <c r="G163" s="611"/>
      <c r="H163" s="611"/>
      <c r="I163" s="611"/>
      <c r="J163" s="612"/>
    </row>
    <row r="164" spans="1:10" ht="12.75" customHeight="1" x14ac:dyDescent="0.2">
      <c r="A164" s="610"/>
      <c r="B164" s="611"/>
      <c r="C164" s="611"/>
      <c r="D164" s="611"/>
      <c r="E164" s="611"/>
      <c r="F164" s="611"/>
      <c r="G164" s="611"/>
      <c r="H164" s="611"/>
      <c r="I164" s="611"/>
      <c r="J164" s="612"/>
    </row>
    <row r="165" spans="1:10" ht="12.75" customHeight="1" x14ac:dyDescent="0.2">
      <c r="A165" s="610"/>
      <c r="B165" s="611"/>
      <c r="C165" s="611"/>
      <c r="D165" s="611"/>
      <c r="E165" s="611"/>
      <c r="F165" s="611"/>
      <c r="G165" s="611"/>
      <c r="H165" s="611"/>
      <c r="I165" s="611"/>
      <c r="J165" s="612"/>
    </row>
    <row r="166" spans="1:10" ht="12.75" customHeight="1" x14ac:dyDescent="0.2">
      <c r="A166" s="610"/>
      <c r="B166" s="611"/>
      <c r="C166" s="611"/>
      <c r="D166" s="611"/>
      <c r="E166" s="611"/>
      <c r="F166" s="611"/>
      <c r="G166" s="611"/>
      <c r="H166" s="611"/>
      <c r="I166" s="611"/>
      <c r="J166" s="612"/>
    </row>
    <row r="167" spans="1:10" ht="12.75" customHeight="1" x14ac:dyDescent="0.2">
      <c r="A167" s="610"/>
      <c r="B167" s="611"/>
      <c r="C167" s="611"/>
      <c r="D167" s="611"/>
      <c r="E167" s="611"/>
      <c r="F167" s="611"/>
      <c r="G167" s="611"/>
      <c r="H167" s="611"/>
      <c r="I167" s="611"/>
      <c r="J167" s="612"/>
    </row>
    <row r="168" spans="1:10" ht="12.75" customHeight="1" x14ac:dyDescent="0.2">
      <c r="A168" s="610"/>
      <c r="B168" s="611"/>
      <c r="C168" s="611"/>
      <c r="D168" s="611"/>
      <c r="E168" s="611"/>
      <c r="F168" s="611"/>
      <c r="G168" s="611"/>
      <c r="H168" s="611"/>
      <c r="I168" s="611"/>
      <c r="J168" s="612"/>
    </row>
    <row r="169" spans="1:10" s="61" customFormat="1" x14ac:dyDescent="0.2">
      <c r="A169" s="55"/>
      <c r="B169" s="56"/>
      <c r="C169" s="57"/>
      <c r="D169" s="58"/>
      <c r="E169" s="58"/>
      <c r="F169" s="58"/>
      <c r="G169" s="58"/>
      <c r="H169" s="59"/>
      <c r="I169" s="57"/>
      <c r="J169" s="60"/>
    </row>
    <row r="170" spans="1:10" s="61" customFormat="1" ht="25.5" customHeight="1" x14ac:dyDescent="0.2">
      <c r="A170" s="619" t="s">
        <v>200</v>
      </c>
      <c r="B170" s="620"/>
      <c r="C170" s="620"/>
      <c r="D170" s="620"/>
      <c r="E170" s="620"/>
      <c r="F170" s="621"/>
      <c r="G170" s="622"/>
      <c r="H170" s="622"/>
      <c r="I170" s="622"/>
      <c r="J170" s="623"/>
    </row>
    <row r="171" spans="1:10" s="61" customFormat="1" ht="12.75" customHeight="1" x14ac:dyDescent="0.2">
      <c r="A171" s="348" t="s">
        <v>301</v>
      </c>
      <c r="B171" s="349"/>
      <c r="C171" s="349"/>
      <c r="D171" s="349"/>
      <c r="E171" s="349"/>
      <c r="F171" s="614"/>
      <c r="G171" s="614"/>
      <c r="H171" s="614"/>
      <c r="I171" s="614"/>
      <c r="J171" s="615"/>
    </row>
    <row r="172" spans="1:10" ht="12.75" customHeight="1" x14ac:dyDescent="0.2">
      <c r="A172" s="593" t="s">
        <v>368</v>
      </c>
      <c r="B172" s="594"/>
      <c r="C172" s="594"/>
      <c r="D172" s="594"/>
      <c r="E172" s="594"/>
      <c r="F172" s="594"/>
      <c r="G172" s="594"/>
      <c r="H172" s="594"/>
      <c r="I172" s="594"/>
      <c r="J172" s="595"/>
    </row>
    <row r="173" spans="1:10" ht="12.75" customHeight="1" x14ac:dyDescent="0.2">
      <c r="A173" s="596"/>
      <c r="B173" s="597"/>
      <c r="C173" s="597"/>
      <c r="D173" s="597"/>
      <c r="E173" s="597"/>
      <c r="F173" s="597"/>
      <c r="G173" s="597"/>
      <c r="H173" s="597"/>
      <c r="I173" s="597"/>
      <c r="J173" s="598"/>
    </row>
    <row r="174" spans="1:10" ht="12.75" customHeight="1" x14ac:dyDescent="0.2">
      <c r="A174" s="596"/>
      <c r="B174" s="597"/>
      <c r="C174" s="597"/>
      <c r="D174" s="597"/>
      <c r="E174" s="597"/>
      <c r="F174" s="597"/>
      <c r="G174" s="597"/>
      <c r="H174" s="597"/>
      <c r="I174" s="597"/>
      <c r="J174" s="598"/>
    </row>
    <row r="175" spans="1:10" ht="15" customHeight="1" x14ac:dyDescent="0.2">
      <c r="A175" s="599"/>
      <c r="B175" s="600"/>
      <c r="C175" s="600"/>
      <c r="D175" s="600"/>
      <c r="E175" s="600"/>
      <c r="F175" s="600"/>
      <c r="G175" s="600"/>
      <c r="H175" s="600"/>
      <c r="I175" s="600"/>
      <c r="J175" s="601"/>
    </row>
    <row r="176" spans="1:10" ht="12.75" customHeight="1" x14ac:dyDescent="0.2">
      <c r="A176" s="610"/>
      <c r="B176" s="611"/>
      <c r="C176" s="611"/>
      <c r="D176" s="611"/>
      <c r="E176" s="611"/>
      <c r="F176" s="611"/>
      <c r="G176" s="611"/>
      <c r="H176" s="611"/>
      <c r="I176" s="611"/>
      <c r="J176" s="612"/>
    </row>
    <row r="177" spans="1:10" ht="12.75" customHeight="1" x14ac:dyDescent="0.2">
      <c r="A177" s="610"/>
      <c r="B177" s="611"/>
      <c r="C177" s="611"/>
      <c r="D177" s="611"/>
      <c r="E177" s="611"/>
      <c r="F177" s="611"/>
      <c r="G177" s="611"/>
      <c r="H177" s="611"/>
      <c r="I177" s="611"/>
      <c r="J177" s="612"/>
    </row>
    <row r="178" spans="1:10" ht="12.75" customHeight="1" x14ac:dyDescent="0.2">
      <c r="A178" s="610"/>
      <c r="B178" s="611"/>
      <c r="C178" s="611"/>
      <c r="D178" s="611"/>
      <c r="E178" s="611"/>
      <c r="F178" s="611"/>
      <c r="G178" s="611"/>
      <c r="H178" s="611"/>
      <c r="I178" s="611"/>
      <c r="J178" s="612"/>
    </row>
    <row r="179" spans="1:10" ht="12.75" customHeight="1" x14ac:dyDescent="0.2">
      <c r="A179" s="610"/>
      <c r="B179" s="611"/>
      <c r="C179" s="611"/>
      <c r="D179" s="611"/>
      <c r="E179" s="611"/>
      <c r="F179" s="611"/>
      <c r="G179" s="611"/>
      <c r="H179" s="611"/>
      <c r="I179" s="611"/>
      <c r="J179" s="612"/>
    </row>
    <row r="180" spans="1:10" ht="12.75" customHeight="1" x14ac:dyDescent="0.2">
      <c r="A180" s="610"/>
      <c r="B180" s="611"/>
      <c r="C180" s="611"/>
      <c r="D180" s="611"/>
      <c r="E180" s="611"/>
      <c r="F180" s="611"/>
      <c r="G180" s="611"/>
      <c r="H180" s="611"/>
      <c r="I180" s="611"/>
      <c r="J180" s="612"/>
    </row>
    <row r="181" spans="1:10" ht="12.75" customHeight="1" x14ac:dyDescent="0.2">
      <c r="A181" s="610"/>
      <c r="B181" s="611"/>
      <c r="C181" s="611"/>
      <c r="D181" s="611"/>
      <c r="E181" s="611"/>
      <c r="F181" s="611"/>
      <c r="G181" s="611"/>
      <c r="H181" s="611"/>
      <c r="I181" s="611"/>
      <c r="J181" s="612"/>
    </row>
    <row r="182" spans="1:10" ht="12.75" customHeight="1" x14ac:dyDescent="0.2">
      <c r="A182" s="610"/>
      <c r="B182" s="611"/>
      <c r="C182" s="611"/>
      <c r="D182" s="611"/>
      <c r="E182" s="611"/>
      <c r="F182" s="611"/>
      <c r="G182" s="611"/>
      <c r="H182" s="611"/>
      <c r="I182" s="611"/>
      <c r="J182" s="612"/>
    </row>
    <row r="183" spans="1:10" ht="12.75" customHeight="1" x14ac:dyDescent="0.2">
      <c r="A183" s="610"/>
      <c r="B183" s="611"/>
      <c r="C183" s="611"/>
      <c r="D183" s="611"/>
      <c r="E183" s="611"/>
      <c r="F183" s="611"/>
      <c r="G183" s="611"/>
      <c r="H183" s="611"/>
      <c r="I183" s="611"/>
      <c r="J183" s="612"/>
    </row>
    <row r="184" spans="1:10" ht="12.75" customHeight="1" x14ac:dyDescent="0.2">
      <c r="A184" s="610"/>
      <c r="B184" s="611"/>
      <c r="C184" s="611"/>
      <c r="D184" s="611"/>
      <c r="E184" s="611"/>
      <c r="F184" s="611"/>
      <c r="G184" s="611"/>
      <c r="H184" s="611"/>
      <c r="I184" s="611"/>
      <c r="J184" s="612"/>
    </row>
    <row r="185" spans="1:10" ht="12.75" customHeight="1" x14ac:dyDescent="0.2">
      <c r="A185" s="610"/>
      <c r="B185" s="611"/>
      <c r="C185" s="611"/>
      <c r="D185" s="611"/>
      <c r="E185" s="611"/>
      <c r="F185" s="611"/>
      <c r="G185" s="611"/>
      <c r="H185" s="611"/>
      <c r="I185" s="611"/>
      <c r="J185" s="612"/>
    </row>
    <row r="186" spans="1:10" ht="12.75" customHeight="1" x14ac:dyDescent="0.2">
      <c r="A186" s="610"/>
      <c r="B186" s="611"/>
      <c r="C186" s="611"/>
      <c r="D186" s="611"/>
      <c r="E186" s="611"/>
      <c r="F186" s="611"/>
      <c r="G186" s="611"/>
      <c r="H186" s="611"/>
      <c r="I186" s="611"/>
      <c r="J186" s="612"/>
    </row>
    <row r="187" spans="1:10" ht="12.75" customHeight="1" x14ac:dyDescent="0.2">
      <c r="A187" s="610"/>
      <c r="B187" s="611"/>
      <c r="C187" s="611"/>
      <c r="D187" s="611"/>
      <c r="E187" s="611"/>
      <c r="F187" s="611"/>
      <c r="G187" s="611"/>
      <c r="H187" s="611"/>
      <c r="I187" s="611"/>
      <c r="J187" s="612"/>
    </row>
    <row r="188" spans="1:10" ht="12.75" customHeight="1" x14ac:dyDescent="0.2">
      <c r="A188" s="610"/>
      <c r="B188" s="611"/>
      <c r="C188" s="611"/>
      <c r="D188" s="611"/>
      <c r="E188" s="611"/>
      <c r="F188" s="611"/>
      <c r="G188" s="611"/>
      <c r="H188" s="611"/>
      <c r="I188" s="611"/>
      <c r="J188" s="612"/>
    </row>
    <row r="189" spans="1:10" ht="12.75" customHeight="1" x14ac:dyDescent="0.2">
      <c r="A189" s="610"/>
      <c r="B189" s="611"/>
      <c r="C189" s="611"/>
      <c r="D189" s="611"/>
      <c r="E189" s="611"/>
      <c r="F189" s="611"/>
      <c r="G189" s="611"/>
      <c r="H189" s="611"/>
      <c r="I189" s="611"/>
      <c r="J189" s="612"/>
    </row>
    <row r="190" spans="1:10" ht="12.75" customHeight="1" x14ac:dyDescent="0.2">
      <c r="A190" s="610"/>
      <c r="B190" s="611"/>
      <c r="C190" s="611"/>
      <c r="D190" s="611"/>
      <c r="E190" s="611"/>
      <c r="F190" s="611"/>
      <c r="G190" s="611"/>
      <c r="H190" s="611"/>
      <c r="I190" s="611"/>
      <c r="J190" s="612"/>
    </row>
    <row r="191" spans="1:10" ht="12.75" customHeight="1" x14ac:dyDescent="0.2">
      <c r="A191" s="610"/>
      <c r="B191" s="611"/>
      <c r="C191" s="611"/>
      <c r="D191" s="611"/>
      <c r="E191" s="611"/>
      <c r="F191" s="611"/>
      <c r="G191" s="611"/>
      <c r="H191" s="611"/>
      <c r="I191" s="611"/>
      <c r="J191" s="612"/>
    </row>
    <row r="192" spans="1:10" ht="12.75" customHeight="1" x14ac:dyDescent="0.2">
      <c r="A192" s="610"/>
      <c r="B192" s="611"/>
      <c r="C192" s="611"/>
      <c r="D192" s="611"/>
      <c r="E192" s="611"/>
      <c r="F192" s="611"/>
      <c r="G192" s="611"/>
      <c r="H192" s="611"/>
      <c r="I192" s="611"/>
      <c r="J192" s="612"/>
    </row>
    <row r="193" spans="1:10" ht="12.75" customHeight="1" x14ac:dyDescent="0.2">
      <c r="A193" s="610"/>
      <c r="B193" s="611"/>
      <c r="C193" s="611"/>
      <c r="D193" s="611"/>
      <c r="E193" s="611"/>
      <c r="F193" s="611"/>
      <c r="G193" s="611"/>
      <c r="H193" s="611"/>
      <c r="I193" s="611"/>
      <c r="J193" s="612"/>
    </row>
    <row r="194" spans="1:10" ht="12.75" customHeight="1" x14ac:dyDescent="0.2">
      <c r="A194" s="610"/>
      <c r="B194" s="611"/>
      <c r="C194" s="611"/>
      <c r="D194" s="611"/>
      <c r="E194" s="611"/>
      <c r="F194" s="611"/>
      <c r="G194" s="611"/>
      <c r="H194" s="611"/>
      <c r="I194" s="611"/>
      <c r="J194" s="612"/>
    </row>
    <row r="195" spans="1:10" ht="12.75" customHeight="1" x14ac:dyDescent="0.2">
      <c r="A195" s="610"/>
      <c r="B195" s="611"/>
      <c r="C195" s="611"/>
      <c r="D195" s="611"/>
      <c r="E195" s="611"/>
      <c r="F195" s="611"/>
      <c r="G195" s="611"/>
      <c r="H195" s="611"/>
      <c r="I195" s="611"/>
      <c r="J195" s="612"/>
    </row>
    <row r="196" spans="1:10" ht="12.75" customHeight="1" x14ac:dyDescent="0.2">
      <c r="A196" s="610"/>
      <c r="B196" s="611"/>
      <c r="C196" s="611"/>
      <c r="D196" s="611"/>
      <c r="E196" s="611"/>
      <c r="F196" s="611"/>
      <c r="G196" s="611"/>
      <c r="H196" s="611"/>
      <c r="I196" s="611"/>
      <c r="J196" s="612"/>
    </row>
    <row r="197" spans="1:10" ht="12.75" customHeight="1" x14ac:dyDescent="0.2">
      <c r="A197" s="610"/>
      <c r="B197" s="611"/>
      <c r="C197" s="611"/>
      <c r="D197" s="611"/>
      <c r="E197" s="611"/>
      <c r="F197" s="611"/>
      <c r="G197" s="611"/>
      <c r="H197" s="611"/>
      <c r="I197" s="611"/>
      <c r="J197" s="612"/>
    </row>
    <row r="198" spans="1:10" ht="12.75" customHeight="1" x14ac:dyDescent="0.2">
      <c r="A198" s="610"/>
      <c r="B198" s="611"/>
      <c r="C198" s="611"/>
      <c r="D198" s="611"/>
      <c r="E198" s="611"/>
      <c r="F198" s="611"/>
      <c r="G198" s="611"/>
      <c r="H198" s="611"/>
      <c r="I198" s="611"/>
      <c r="J198" s="612"/>
    </row>
    <row r="199" spans="1:10" ht="12.75" customHeight="1" x14ac:dyDescent="0.2">
      <c r="A199" s="610"/>
      <c r="B199" s="611"/>
      <c r="C199" s="611"/>
      <c r="D199" s="611"/>
      <c r="E199" s="611"/>
      <c r="F199" s="611"/>
      <c r="G199" s="611"/>
      <c r="H199" s="611"/>
      <c r="I199" s="611"/>
      <c r="J199" s="612"/>
    </row>
    <row r="200" spans="1:10" ht="12.75" customHeight="1" x14ac:dyDescent="0.2">
      <c r="A200" s="610"/>
      <c r="B200" s="611"/>
      <c r="C200" s="611"/>
      <c r="D200" s="611"/>
      <c r="E200" s="611"/>
      <c r="F200" s="611"/>
      <c r="G200" s="611"/>
      <c r="H200" s="611"/>
      <c r="I200" s="611"/>
      <c r="J200" s="612"/>
    </row>
    <row r="201" spans="1:10" ht="12.75" customHeight="1" x14ac:dyDescent="0.2">
      <c r="A201" s="610"/>
      <c r="B201" s="611"/>
      <c r="C201" s="611"/>
      <c r="D201" s="611"/>
      <c r="E201" s="611"/>
      <c r="F201" s="611"/>
      <c r="G201" s="611"/>
      <c r="H201" s="611"/>
      <c r="I201" s="611"/>
      <c r="J201" s="612"/>
    </row>
    <row r="202" spans="1:10" ht="12.75" customHeight="1" x14ac:dyDescent="0.2">
      <c r="A202" s="610"/>
      <c r="B202" s="611"/>
      <c r="C202" s="611"/>
      <c r="D202" s="611"/>
      <c r="E202" s="611"/>
      <c r="F202" s="611"/>
      <c r="G202" s="611"/>
      <c r="H202" s="611"/>
      <c r="I202" s="611"/>
      <c r="J202" s="612"/>
    </row>
    <row r="203" spans="1:10" ht="12.75" customHeight="1" x14ac:dyDescent="0.2">
      <c r="A203" s="610"/>
      <c r="B203" s="611"/>
      <c r="C203" s="611"/>
      <c r="D203" s="611"/>
      <c r="E203" s="611"/>
      <c r="F203" s="611"/>
      <c r="G203" s="611"/>
      <c r="H203" s="611"/>
      <c r="I203" s="611"/>
      <c r="J203" s="612"/>
    </row>
    <row r="204" spans="1:10" ht="12.75" customHeight="1" x14ac:dyDescent="0.2">
      <c r="A204" s="610"/>
      <c r="B204" s="611"/>
      <c r="C204" s="611"/>
      <c r="D204" s="611"/>
      <c r="E204" s="611"/>
      <c r="F204" s="611"/>
      <c r="G204" s="611"/>
      <c r="H204" s="611"/>
      <c r="I204" s="611"/>
      <c r="J204" s="612"/>
    </row>
    <row r="205" spans="1:10" ht="12.75" customHeight="1" x14ac:dyDescent="0.2">
      <c r="A205" s="610"/>
      <c r="B205" s="611"/>
      <c r="C205" s="611"/>
      <c r="D205" s="611"/>
      <c r="E205" s="611"/>
      <c r="F205" s="611"/>
      <c r="G205" s="611"/>
      <c r="H205" s="611"/>
      <c r="I205" s="611"/>
      <c r="J205" s="612"/>
    </row>
    <row r="206" spans="1:10" ht="12.75" customHeight="1" x14ac:dyDescent="0.2">
      <c r="A206" s="610"/>
      <c r="B206" s="611"/>
      <c r="C206" s="611"/>
      <c r="D206" s="611"/>
      <c r="E206" s="611"/>
      <c r="F206" s="611"/>
      <c r="G206" s="611"/>
      <c r="H206" s="611"/>
      <c r="I206" s="611"/>
      <c r="J206" s="612"/>
    </row>
    <row r="207" spans="1:10" ht="12.75" customHeight="1" x14ac:dyDescent="0.2">
      <c r="A207" s="610"/>
      <c r="B207" s="611"/>
      <c r="C207" s="611"/>
      <c r="D207" s="611"/>
      <c r="E207" s="611"/>
      <c r="F207" s="611"/>
      <c r="G207" s="611"/>
      <c r="H207" s="611"/>
      <c r="I207" s="611"/>
      <c r="J207" s="612"/>
    </row>
    <row r="208" spans="1:10" ht="12.75" customHeight="1" x14ac:dyDescent="0.2">
      <c r="A208" s="610"/>
      <c r="B208" s="611"/>
      <c r="C208" s="611"/>
      <c r="D208" s="611"/>
      <c r="E208" s="611"/>
      <c r="F208" s="611"/>
      <c r="G208" s="611"/>
      <c r="H208" s="611"/>
      <c r="I208" s="611"/>
      <c r="J208" s="612"/>
    </row>
    <row r="209" spans="1:10" ht="12.75" customHeight="1" x14ac:dyDescent="0.2">
      <c r="A209" s="610"/>
      <c r="B209" s="611"/>
      <c r="C209" s="611"/>
      <c r="D209" s="611"/>
      <c r="E209" s="611"/>
      <c r="F209" s="611"/>
      <c r="G209" s="611"/>
      <c r="H209" s="611"/>
      <c r="I209" s="611"/>
      <c r="J209" s="612"/>
    </row>
    <row r="210" spans="1:10" ht="12.75" customHeight="1" x14ac:dyDescent="0.2">
      <c r="A210" s="610"/>
      <c r="B210" s="611"/>
      <c r="C210" s="611"/>
      <c r="D210" s="611"/>
      <c r="E210" s="611"/>
      <c r="F210" s="611"/>
      <c r="G210" s="611"/>
      <c r="H210" s="611"/>
      <c r="I210" s="611"/>
      <c r="J210" s="612"/>
    </row>
    <row r="211" spans="1:10" s="61" customFormat="1" x14ac:dyDescent="0.2">
      <c r="A211" s="55"/>
      <c r="B211" s="56"/>
      <c r="C211" s="57"/>
      <c r="D211" s="58"/>
      <c r="E211" s="58"/>
      <c r="F211" s="58"/>
      <c r="G211" s="58"/>
      <c r="H211" s="59"/>
      <c r="I211" s="57"/>
      <c r="J211" s="60"/>
    </row>
    <row r="212" spans="1:10" s="61" customFormat="1" ht="25.5" customHeight="1" x14ac:dyDescent="0.2">
      <c r="A212" s="619" t="s">
        <v>199</v>
      </c>
      <c r="B212" s="620"/>
      <c r="C212" s="620"/>
      <c r="D212" s="620"/>
      <c r="E212" s="620"/>
      <c r="F212" s="621"/>
      <c r="G212" s="622"/>
      <c r="H212" s="622"/>
      <c r="I212" s="622"/>
      <c r="J212" s="623"/>
    </row>
    <row r="213" spans="1:10" s="61" customFormat="1" ht="12.75" customHeight="1" x14ac:dyDescent="0.2">
      <c r="A213" s="348" t="s">
        <v>301</v>
      </c>
      <c r="B213" s="349"/>
      <c r="C213" s="349"/>
      <c r="D213" s="349"/>
      <c r="E213" s="349"/>
      <c r="F213" s="614"/>
      <c r="G213" s="614"/>
      <c r="H213" s="614"/>
      <c r="I213" s="614"/>
      <c r="J213" s="615"/>
    </row>
    <row r="214" spans="1:10" ht="12.75" customHeight="1" x14ac:dyDescent="0.2">
      <c r="A214" s="593" t="s">
        <v>368</v>
      </c>
      <c r="B214" s="594"/>
      <c r="C214" s="594"/>
      <c r="D214" s="594"/>
      <c r="E214" s="594"/>
      <c r="F214" s="594"/>
      <c r="G214" s="594"/>
      <c r="H214" s="594"/>
      <c r="I214" s="594"/>
      <c r="J214" s="595"/>
    </row>
    <row r="215" spans="1:10" ht="12.75" customHeight="1" x14ac:dyDescent="0.2">
      <c r="A215" s="596"/>
      <c r="B215" s="597"/>
      <c r="C215" s="597"/>
      <c r="D215" s="597"/>
      <c r="E215" s="597"/>
      <c r="F215" s="597"/>
      <c r="G215" s="597"/>
      <c r="H215" s="597"/>
      <c r="I215" s="597"/>
      <c r="J215" s="598"/>
    </row>
    <row r="216" spans="1:10" ht="12.75" customHeight="1" x14ac:dyDescent="0.2">
      <c r="A216" s="596"/>
      <c r="B216" s="597"/>
      <c r="C216" s="597"/>
      <c r="D216" s="597"/>
      <c r="E216" s="597"/>
      <c r="F216" s="597"/>
      <c r="G216" s="597"/>
      <c r="H216" s="597"/>
      <c r="I216" s="597"/>
      <c r="J216" s="598"/>
    </row>
    <row r="217" spans="1:10" ht="15" customHeight="1" x14ac:dyDescent="0.2">
      <c r="A217" s="599"/>
      <c r="B217" s="600"/>
      <c r="C217" s="600"/>
      <c r="D217" s="600"/>
      <c r="E217" s="600"/>
      <c r="F217" s="600"/>
      <c r="G217" s="600"/>
      <c r="H217" s="600"/>
      <c r="I217" s="600"/>
      <c r="J217" s="601"/>
    </row>
    <row r="218" spans="1:10" ht="12.75" customHeight="1" x14ac:dyDescent="0.2">
      <c r="A218" s="610"/>
      <c r="B218" s="611"/>
      <c r="C218" s="611"/>
      <c r="D218" s="611"/>
      <c r="E218" s="611"/>
      <c r="F218" s="611"/>
      <c r="G218" s="611"/>
      <c r="H218" s="611"/>
      <c r="I218" s="611"/>
      <c r="J218" s="612"/>
    </row>
    <row r="219" spans="1:10" ht="12.75" customHeight="1" x14ac:dyDescent="0.2">
      <c r="A219" s="610"/>
      <c r="B219" s="611"/>
      <c r="C219" s="611"/>
      <c r="D219" s="611"/>
      <c r="E219" s="611"/>
      <c r="F219" s="611"/>
      <c r="G219" s="611"/>
      <c r="H219" s="611"/>
      <c r="I219" s="611"/>
      <c r="J219" s="612"/>
    </row>
    <row r="220" spans="1:10" ht="12.75" customHeight="1" x14ac:dyDescent="0.2">
      <c r="A220" s="610"/>
      <c r="B220" s="611"/>
      <c r="C220" s="611"/>
      <c r="D220" s="611"/>
      <c r="E220" s="611"/>
      <c r="F220" s="611"/>
      <c r="G220" s="611"/>
      <c r="H220" s="611"/>
      <c r="I220" s="611"/>
      <c r="J220" s="612"/>
    </row>
    <row r="221" spans="1:10" ht="12.75" customHeight="1" x14ac:dyDescent="0.2">
      <c r="A221" s="610"/>
      <c r="B221" s="611"/>
      <c r="C221" s="611"/>
      <c r="D221" s="611"/>
      <c r="E221" s="611"/>
      <c r="F221" s="611"/>
      <c r="G221" s="611"/>
      <c r="H221" s="611"/>
      <c r="I221" s="611"/>
      <c r="J221" s="612"/>
    </row>
    <row r="222" spans="1:10" ht="12.75" customHeight="1" x14ac:dyDescent="0.2">
      <c r="A222" s="610"/>
      <c r="B222" s="611"/>
      <c r="C222" s="611"/>
      <c r="D222" s="611"/>
      <c r="E222" s="611"/>
      <c r="F222" s="611"/>
      <c r="G222" s="611"/>
      <c r="H222" s="611"/>
      <c r="I222" s="611"/>
      <c r="J222" s="612"/>
    </row>
    <row r="223" spans="1:10" ht="12.75" customHeight="1" x14ac:dyDescent="0.2">
      <c r="A223" s="610"/>
      <c r="B223" s="611"/>
      <c r="C223" s="611"/>
      <c r="D223" s="611"/>
      <c r="E223" s="611"/>
      <c r="F223" s="611"/>
      <c r="G223" s="611"/>
      <c r="H223" s="611"/>
      <c r="I223" s="611"/>
      <c r="J223" s="612"/>
    </row>
    <row r="224" spans="1:10" ht="12.75" customHeight="1" x14ac:dyDescent="0.2">
      <c r="A224" s="610"/>
      <c r="B224" s="611"/>
      <c r="C224" s="611"/>
      <c r="D224" s="611"/>
      <c r="E224" s="611"/>
      <c r="F224" s="611"/>
      <c r="G224" s="611"/>
      <c r="H224" s="611"/>
      <c r="I224" s="611"/>
      <c r="J224" s="612"/>
    </row>
    <row r="225" spans="1:10" ht="12.75" customHeight="1" x14ac:dyDescent="0.2">
      <c r="A225" s="610"/>
      <c r="B225" s="611"/>
      <c r="C225" s="611"/>
      <c r="D225" s="611"/>
      <c r="E225" s="611"/>
      <c r="F225" s="611"/>
      <c r="G225" s="611"/>
      <c r="H225" s="611"/>
      <c r="I225" s="611"/>
      <c r="J225" s="612"/>
    </row>
    <row r="226" spans="1:10" ht="12.75" customHeight="1" x14ac:dyDescent="0.2">
      <c r="A226" s="610"/>
      <c r="B226" s="611"/>
      <c r="C226" s="611"/>
      <c r="D226" s="611"/>
      <c r="E226" s="611"/>
      <c r="F226" s="611"/>
      <c r="G226" s="611"/>
      <c r="H226" s="611"/>
      <c r="I226" s="611"/>
      <c r="J226" s="612"/>
    </row>
    <row r="227" spans="1:10" ht="12.75" customHeight="1" x14ac:dyDescent="0.2">
      <c r="A227" s="610"/>
      <c r="B227" s="611"/>
      <c r="C227" s="611"/>
      <c r="D227" s="611"/>
      <c r="E227" s="611"/>
      <c r="F227" s="611"/>
      <c r="G227" s="611"/>
      <c r="H227" s="611"/>
      <c r="I227" s="611"/>
      <c r="J227" s="612"/>
    </row>
    <row r="228" spans="1:10" ht="12.75" customHeight="1" x14ac:dyDescent="0.2">
      <c r="A228" s="610"/>
      <c r="B228" s="611"/>
      <c r="C228" s="611"/>
      <c r="D228" s="611"/>
      <c r="E228" s="611"/>
      <c r="F228" s="611"/>
      <c r="G228" s="611"/>
      <c r="H228" s="611"/>
      <c r="I228" s="611"/>
      <c r="J228" s="612"/>
    </row>
    <row r="229" spans="1:10" ht="12.75" customHeight="1" x14ac:dyDescent="0.2">
      <c r="A229" s="610"/>
      <c r="B229" s="611"/>
      <c r="C229" s="611"/>
      <c r="D229" s="611"/>
      <c r="E229" s="611"/>
      <c r="F229" s="611"/>
      <c r="G229" s="611"/>
      <c r="H229" s="611"/>
      <c r="I229" s="611"/>
      <c r="J229" s="612"/>
    </row>
    <row r="230" spans="1:10" ht="12.75" customHeight="1" x14ac:dyDescent="0.2">
      <c r="A230" s="610"/>
      <c r="B230" s="611"/>
      <c r="C230" s="611"/>
      <c r="D230" s="611"/>
      <c r="E230" s="611"/>
      <c r="F230" s="611"/>
      <c r="G230" s="611"/>
      <c r="H230" s="611"/>
      <c r="I230" s="611"/>
      <c r="J230" s="612"/>
    </row>
    <row r="231" spans="1:10" ht="12.75" customHeight="1" x14ac:dyDescent="0.2">
      <c r="A231" s="610"/>
      <c r="B231" s="611"/>
      <c r="C231" s="611"/>
      <c r="D231" s="611"/>
      <c r="E231" s="611"/>
      <c r="F231" s="611"/>
      <c r="G231" s="611"/>
      <c r="H231" s="611"/>
      <c r="I231" s="611"/>
      <c r="J231" s="612"/>
    </row>
    <row r="232" spans="1:10" ht="12.75" customHeight="1" x14ac:dyDescent="0.2">
      <c r="A232" s="610"/>
      <c r="B232" s="611"/>
      <c r="C232" s="611"/>
      <c r="D232" s="611"/>
      <c r="E232" s="611"/>
      <c r="F232" s="611"/>
      <c r="G232" s="611"/>
      <c r="H232" s="611"/>
      <c r="I232" s="611"/>
      <c r="J232" s="612"/>
    </row>
    <row r="233" spans="1:10" ht="12.75" customHeight="1" x14ac:dyDescent="0.2">
      <c r="A233" s="610"/>
      <c r="B233" s="611"/>
      <c r="C233" s="611"/>
      <c r="D233" s="611"/>
      <c r="E233" s="611"/>
      <c r="F233" s="611"/>
      <c r="G233" s="611"/>
      <c r="H233" s="611"/>
      <c r="I233" s="611"/>
      <c r="J233" s="612"/>
    </row>
    <row r="234" spans="1:10" ht="12.75" customHeight="1" x14ac:dyDescent="0.2">
      <c r="A234" s="610"/>
      <c r="B234" s="611"/>
      <c r="C234" s="611"/>
      <c r="D234" s="611"/>
      <c r="E234" s="611"/>
      <c r="F234" s="611"/>
      <c r="G234" s="611"/>
      <c r="H234" s="611"/>
      <c r="I234" s="611"/>
      <c r="J234" s="612"/>
    </row>
    <row r="235" spans="1:10" ht="12.75" customHeight="1" x14ac:dyDescent="0.2">
      <c r="A235" s="610"/>
      <c r="B235" s="611"/>
      <c r="C235" s="611"/>
      <c r="D235" s="611"/>
      <c r="E235" s="611"/>
      <c r="F235" s="611"/>
      <c r="G235" s="611"/>
      <c r="H235" s="611"/>
      <c r="I235" s="611"/>
      <c r="J235" s="612"/>
    </row>
    <row r="236" spans="1:10" ht="12.75" customHeight="1" x14ac:dyDescent="0.2">
      <c r="A236" s="610"/>
      <c r="B236" s="611"/>
      <c r="C236" s="611"/>
      <c r="D236" s="611"/>
      <c r="E236" s="611"/>
      <c r="F236" s="611"/>
      <c r="G236" s="611"/>
      <c r="H236" s="611"/>
      <c r="I236" s="611"/>
      <c r="J236" s="612"/>
    </row>
    <row r="237" spans="1:10" ht="12.75" customHeight="1" x14ac:dyDescent="0.2">
      <c r="A237" s="610"/>
      <c r="B237" s="611"/>
      <c r="C237" s="611"/>
      <c r="D237" s="611"/>
      <c r="E237" s="611"/>
      <c r="F237" s="611"/>
      <c r="G237" s="611"/>
      <c r="H237" s="611"/>
      <c r="I237" s="611"/>
      <c r="J237" s="612"/>
    </row>
    <row r="238" spans="1:10" ht="12.75" customHeight="1" x14ac:dyDescent="0.2">
      <c r="A238" s="610"/>
      <c r="B238" s="611"/>
      <c r="C238" s="611"/>
      <c r="D238" s="611"/>
      <c r="E238" s="611"/>
      <c r="F238" s="611"/>
      <c r="G238" s="611"/>
      <c r="H238" s="611"/>
      <c r="I238" s="611"/>
      <c r="J238" s="612"/>
    </row>
    <row r="239" spans="1:10" ht="12.75" customHeight="1" x14ac:dyDescent="0.2">
      <c r="A239" s="610"/>
      <c r="B239" s="611"/>
      <c r="C239" s="611"/>
      <c r="D239" s="611"/>
      <c r="E239" s="611"/>
      <c r="F239" s="611"/>
      <c r="G239" s="611"/>
      <c r="H239" s="611"/>
      <c r="I239" s="611"/>
      <c r="J239" s="612"/>
    </row>
    <row r="240" spans="1:10" ht="12.75" customHeight="1" x14ac:dyDescent="0.2">
      <c r="A240" s="610"/>
      <c r="B240" s="611"/>
      <c r="C240" s="611"/>
      <c r="D240" s="611"/>
      <c r="E240" s="611"/>
      <c r="F240" s="611"/>
      <c r="G240" s="611"/>
      <c r="H240" s="611"/>
      <c r="I240" s="611"/>
      <c r="J240" s="612"/>
    </row>
    <row r="241" spans="1:10" ht="12.75" customHeight="1" x14ac:dyDescent="0.2">
      <c r="A241" s="610"/>
      <c r="B241" s="611"/>
      <c r="C241" s="611"/>
      <c r="D241" s="611"/>
      <c r="E241" s="611"/>
      <c r="F241" s="611"/>
      <c r="G241" s="611"/>
      <c r="H241" s="611"/>
      <c r="I241" s="611"/>
      <c r="J241" s="612"/>
    </row>
    <row r="242" spans="1:10" ht="12.75" customHeight="1" x14ac:dyDescent="0.2">
      <c r="A242" s="610"/>
      <c r="B242" s="611"/>
      <c r="C242" s="611"/>
      <c r="D242" s="611"/>
      <c r="E242" s="611"/>
      <c r="F242" s="611"/>
      <c r="G242" s="611"/>
      <c r="H242" s="611"/>
      <c r="I242" s="611"/>
      <c r="J242" s="612"/>
    </row>
    <row r="243" spans="1:10" ht="12.75" customHeight="1" x14ac:dyDescent="0.2">
      <c r="A243" s="610"/>
      <c r="B243" s="611"/>
      <c r="C243" s="611"/>
      <c r="D243" s="611"/>
      <c r="E243" s="611"/>
      <c r="F243" s="611"/>
      <c r="G243" s="611"/>
      <c r="H243" s="611"/>
      <c r="I243" s="611"/>
      <c r="J243" s="612"/>
    </row>
    <row r="244" spans="1:10" ht="12.75" customHeight="1" x14ac:dyDescent="0.2">
      <c r="A244" s="610"/>
      <c r="B244" s="611"/>
      <c r="C244" s="611"/>
      <c r="D244" s="611"/>
      <c r="E244" s="611"/>
      <c r="F244" s="611"/>
      <c r="G244" s="611"/>
      <c r="H244" s="611"/>
      <c r="I244" s="611"/>
      <c r="J244" s="612"/>
    </row>
    <row r="245" spans="1:10" ht="12.75" customHeight="1" x14ac:dyDescent="0.2">
      <c r="A245" s="610"/>
      <c r="B245" s="611"/>
      <c r="C245" s="611"/>
      <c r="D245" s="611"/>
      <c r="E245" s="611"/>
      <c r="F245" s="611"/>
      <c r="G245" s="611"/>
      <c r="H245" s="611"/>
      <c r="I245" s="611"/>
      <c r="J245" s="612"/>
    </row>
    <row r="246" spans="1:10" ht="12.75" customHeight="1" x14ac:dyDescent="0.2">
      <c r="A246" s="610"/>
      <c r="B246" s="611"/>
      <c r="C246" s="611"/>
      <c r="D246" s="611"/>
      <c r="E246" s="611"/>
      <c r="F246" s="611"/>
      <c r="G246" s="611"/>
      <c r="H246" s="611"/>
      <c r="I246" s="611"/>
      <c r="J246" s="612"/>
    </row>
    <row r="247" spans="1:10" ht="12.75" customHeight="1" x14ac:dyDescent="0.2">
      <c r="A247" s="610"/>
      <c r="B247" s="611"/>
      <c r="C247" s="611"/>
      <c r="D247" s="611"/>
      <c r="E247" s="611"/>
      <c r="F247" s="611"/>
      <c r="G247" s="611"/>
      <c r="H247" s="611"/>
      <c r="I247" s="611"/>
      <c r="J247" s="612"/>
    </row>
    <row r="248" spans="1:10" ht="12.75" customHeight="1" x14ac:dyDescent="0.2">
      <c r="A248" s="610"/>
      <c r="B248" s="611"/>
      <c r="C248" s="611"/>
      <c r="D248" s="611"/>
      <c r="E248" s="611"/>
      <c r="F248" s="611"/>
      <c r="G248" s="611"/>
      <c r="H248" s="611"/>
      <c r="I248" s="611"/>
      <c r="J248" s="612"/>
    </row>
    <row r="249" spans="1:10" ht="12.75" customHeight="1" x14ac:dyDescent="0.2">
      <c r="A249" s="610"/>
      <c r="B249" s="611"/>
      <c r="C249" s="611"/>
      <c r="D249" s="611"/>
      <c r="E249" s="611"/>
      <c r="F249" s="611"/>
      <c r="G249" s="611"/>
      <c r="H249" s="611"/>
      <c r="I249" s="611"/>
      <c r="J249" s="612"/>
    </row>
    <row r="250" spans="1:10" ht="12.75" customHeight="1" x14ac:dyDescent="0.2">
      <c r="A250" s="610"/>
      <c r="B250" s="611"/>
      <c r="C250" s="611"/>
      <c r="D250" s="611"/>
      <c r="E250" s="611"/>
      <c r="F250" s="611"/>
      <c r="G250" s="611"/>
      <c r="H250" s="611"/>
      <c r="I250" s="611"/>
      <c r="J250" s="612"/>
    </row>
    <row r="251" spans="1:10" ht="12.75" customHeight="1" x14ac:dyDescent="0.2">
      <c r="A251" s="610"/>
      <c r="B251" s="611"/>
      <c r="C251" s="611"/>
      <c r="D251" s="611"/>
      <c r="E251" s="611"/>
      <c r="F251" s="611"/>
      <c r="G251" s="611"/>
      <c r="H251" s="611"/>
      <c r="I251" s="611"/>
      <c r="J251" s="612"/>
    </row>
    <row r="252" spans="1:10" ht="12.75" customHeight="1" x14ac:dyDescent="0.2">
      <c r="A252" s="610"/>
      <c r="B252" s="611"/>
      <c r="C252" s="611"/>
      <c r="D252" s="611"/>
      <c r="E252" s="611"/>
      <c r="F252" s="611"/>
      <c r="G252" s="611"/>
      <c r="H252" s="611"/>
      <c r="I252" s="611"/>
      <c r="J252" s="612"/>
    </row>
    <row r="253" spans="1:10" s="61" customFormat="1" x14ac:dyDescent="0.2">
      <c r="A253" s="55"/>
      <c r="B253" s="56"/>
      <c r="C253" s="57"/>
      <c r="D253" s="58"/>
      <c r="E253" s="58"/>
      <c r="F253" s="58"/>
      <c r="G253" s="58"/>
      <c r="H253" s="59"/>
      <c r="I253" s="57"/>
      <c r="J253" s="60"/>
    </row>
    <row r="254" spans="1:10" s="61" customFormat="1" ht="25.5" customHeight="1" x14ac:dyDescent="0.2">
      <c r="A254" s="619" t="s">
        <v>198</v>
      </c>
      <c r="B254" s="620"/>
      <c r="C254" s="620"/>
      <c r="D254" s="620"/>
      <c r="E254" s="620"/>
      <c r="F254" s="621"/>
      <c r="G254" s="622"/>
      <c r="H254" s="622"/>
      <c r="I254" s="622"/>
      <c r="J254" s="623"/>
    </row>
    <row r="255" spans="1:10" s="61" customFormat="1" ht="12.75" customHeight="1" x14ac:dyDescent="0.2">
      <c r="A255" s="348" t="s">
        <v>301</v>
      </c>
      <c r="B255" s="349"/>
      <c r="C255" s="349"/>
      <c r="D255" s="349"/>
      <c r="E255" s="349"/>
      <c r="F255" s="614"/>
      <c r="G255" s="614"/>
      <c r="H255" s="614"/>
      <c r="I255" s="614"/>
      <c r="J255" s="615"/>
    </row>
    <row r="256" spans="1:10" ht="12.75" customHeight="1" x14ac:dyDescent="0.2">
      <c r="A256" s="593" t="s">
        <v>368</v>
      </c>
      <c r="B256" s="594"/>
      <c r="C256" s="594"/>
      <c r="D256" s="594"/>
      <c r="E256" s="594"/>
      <c r="F256" s="594"/>
      <c r="G256" s="594"/>
      <c r="H256" s="594"/>
      <c r="I256" s="594"/>
      <c r="J256" s="595"/>
    </row>
    <row r="257" spans="1:10" ht="12.75" customHeight="1" x14ac:dyDescent="0.2">
      <c r="A257" s="596"/>
      <c r="B257" s="597"/>
      <c r="C257" s="597"/>
      <c r="D257" s="597"/>
      <c r="E257" s="597"/>
      <c r="F257" s="597"/>
      <c r="G257" s="597"/>
      <c r="H257" s="597"/>
      <c r="I257" s="597"/>
      <c r="J257" s="598"/>
    </row>
    <row r="258" spans="1:10" ht="12.75" customHeight="1" x14ac:dyDescent="0.2">
      <c r="A258" s="596"/>
      <c r="B258" s="597"/>
      <c r="C258" s="597"/>
      <c r="D258" s="597"/>
      <c r="E258" s="597"/>
      <c r="F258" s="597"/>
      <c r="G258" s="597"/>
      <c r="H258" s="597"/>
      <c r="I258" s="597"/>
      <c r="J258" s="598"/>
    </row>
    <row r="259" spans="1:10" ht="15" customHeight="1" x14ac:dyDescent="0.2">
      <c r="A259" s="599"/>
      <c r="B259" s="600"/>
      <c r="C259" s="600"/>
      <c r="D259" s="600"/>
      <c r="E259" s="600"/>
      <c r="F259" s="600"/>
      <c r="G259" s="600"/>
      <c r="H259" s="600"/>
      <c r="I259" s="600"/>
      <c r="J259" s="601"/>
    </row>
    <row r="260" spans="1:10" ht="12.75" customHeight="1" x14ac:dyDescent="0.2">
      <c r="A260" s="610"/>
      <c r="B260" s="611"/>
      <c r="C260" s="611"/>
      <c r="D260" s="611"/>
      <c r="E260" s="611"/>
      <c r="F260" s="611"/>
      <c r="G260" s="611"/>
      <c r="H260" s="611"/>
      <c r="I260" s="611"/>
      <c r="J260" s="612"/>
    </row>
    <row r="261" spans="1:10" ht="12.75" customHeight="1" x14ac:dyDescent="0.2">
      <c r="A261" s="610"/>
      <c r="B261" s="611"/>
      <c r="C261" s="611"/>
      <c r="D261" s="611"/>
      <c r="E261" s="611"/>
      <c r="F261" s="611"/>
      <c r="G261" s="611"/>
      <c r="H261" s="611"/>
      <c r="I261" s="611"/>
      <c r="J261" s="612"/>
    </row>
    <row r="262" spans="1:10" ht="12.75" customHeight="1" x14ac:dyDescent="0.2">
      <c r="A262" s="610"/>
      <c r="B262" s="611"/>
      <c r="C262" s="611"/>
      <c r="D262" s="611"/>
      <c r="E262" s="611"/>
      <c r="F262" s="611"/>
      <c r="G262" s="611"/>
      <c r="H262" s="611"/>
      <c r="I262" s="611"/>
      <c r="J262" s="612"/>
    </row>
    <row r="263" spans="1:10" ht="12.75" customHeight="1" x14ac:dyDescent="0.2">
      <c r="A263" s="610"/>
      <c r="B263" s="611"/>
      <c r="C263" s="611"/>
      <c r="D263" s="611"/>
      <c r="E263" s="611"/>
      <c r="F263" s="611"/>
      <c r="G263" s="611"/>
      <c r="H263" s="611"/>
      <c r="I263" s="611"/>
      <c r="J263" s="612"/>
    </row>
    <row r="264" spans="1:10" ht="12.75" customHeight="1" x14ac:dyDescent="0.2">
      <c r="A264" s="610"/>
      <c r="B264" s="611"/>
      <c r="C264" s="611"/>
      <c r="D264" s="611"/>
      <c r="E264" s="611"/>
      <c r="F264" s="611"/>
      <c r="G264" s="611"/>
      <c r="H264" s="611"/>
      <c r="I264" s="611"/>
      <c r="J264" s="612"/>
    </row>
    <row r="265" spans="1:10" ht="12.75" customHeight="1" x14ac:dyDescent="0.2">
      <c r="A265" s="610"/>
      <c r="B265" s="611"/>
      <c r="C265" s="611"/>
      <c r="D265" s="611"/>
      <c r="E265" s="611"/>
      <c r="F265" s="611"/>
      <c r="G265" s="611"/>
      <c r="H265" s="611"/>
      <c r="I265" s="611"/>
      <c r="J265" s="612"/>
    </row>
    <row r="266" spans="1:10" ht="12.75" customHeight="1" x14ac:dyDescent="0.2">
      <c r="A266" s="610"/>
      <c r="B266" s="611"/>
      <c r="C266" s="611"/>
      <c r="D266" s="611"/>
      <c r="E266" s="611"/>
      <c r="F266" s="611"/>
      <c r="G266" s="611"/>
      <c r="H266" s="611"/>
      <c r="I266" s="611"/>
      <c r="J266" s="612"/>
    </row>
    <row r="267" spans="1:10" ht="12.75" customHeight="1" x14ac:dyDescent="0.2">
      <c r="A267" s="610"/>
      <c r="B267" s="611"/>
      <c r="C267" s="611"/>
      <c r="D267" s="611"/>
      <c r="E267" s="611"/>
      <c r="F267" s="611"/>
      <c r="G267" s="611"/>
      <c r="H267" s="611"/>
      <c r="I267" s="611"/>
      <c r="J267" s="612"/>
    </row>
    <row r="268" spans="1:10" ht="12.75" customHeight="1" x14ac:dyDescent="0.2">
      <c r="A268" s="610"/>
      <c r="B268" s="611"/>
      <c r="C268" s="611"/>
      <c r="D268" s="611"/>
      <c r="E268" s="611"/>
      <c r="F268" s="611"/>
      <c r="G268" s="611"/>
      <c r="H268" s="611"/>
      <c r="I268" s="611"/>
      <c r="J268" s="612"/>
    </row>
    <row r="269" spans="1:10" ht="12.75" customHeight="1" x14ac:dyDescent="0.2">
      <c r="A269" s="610"/>
      <c r="B269" s="611"/>
      <c r="C269" s="611"/>
      <c r="D269" s="611"/>
      <c r="E269" s="611"/>
      <c r="F269" s="611"/>
      <c r="G269" s="611"/>
      <c r="H269" s="611"/>
      <c r="I269" s="611"/>
      <c r="J269" s="612"/>
    </row>
    <row r="270" spans="1:10" ht="12.75" customHeight="1" x14ac:dyDescent="0.2">
      <c r="A270" s="610"/>
      <c r="B270" s="611"/>
      <c r="C270" s="611"/>
      <c r="D270" s="611"/>
      <c r="E270" s="611"/>
      <c r="F270" s="611"/>
      <c r="G270" s="611"/>
      <c r="H270" s="611"/>
      <c r="I270" s="611"/>
      <c r="J270" s="612"/>
    </row>
    <row r="271" spans="1:10" ht="12.75" customHeight="1" x14ac:dyDescent="0.2">
      <c r="A271" s="610"/>
      <c r="B271" s="611"/>
      <c r="C271" s="611"/>
      <c r="D271" s="611"/>
      <c r="E271" s="611"/>
      <c r="F271" s="611"/>
      <c r="G271" s="611"/>
      <c r="H271" s="611"/>
      <c r="I271" s="611"/>
      <c r="J271" s="612"/>
    </row>
    <row r="272" spans="1:10" ht="12.75" customHeight="1" x14ac:dyDescent="0.2">
      <c r="A272" s="610"/>
      <c r="B272" s="611"/>
      <c r="C272" s="611"/>
      <c r="D272" s="611"/>
      <c r="E272" s="611"/>
      <c r="F272" s="611"/>
      <c r="G272" s="611"/>
      <c r="H272" s="611"/>
      <c r="I272" s="611"/>
      <c r="J272" s="612"/>
    </row>
    <row r="273" spans="1:10" ht="12.75" customHeight="1" x14ac:dyDescent="0.2">
      <c r="A273" s="610"/>
      <c r="B273" s="611"/>
      <c r="C273" s="611"/>
      <c r="D273" s="611"/>
      <c r="E273" s="611"/>
      <c r="F273" s="611"/>
      <c r="G273" s="611"/>
      <c r="H273" s="611"/>
      <c r="I273" s="611"/>
      <c r="J273" s="612"/>
    </row>
    <row r="274" spans="1:10" ht="12.75" customHeight="1" x14ac:dyDescent="0.2">
      <c r="A274" s="610"/>
      <c r="B274" s="611"/>
      <c r="C274" s="611"/>
      <c r="D274" s="611"/>
      <c r="E274" s="611"/>
      <c r="F274" s="611"/>
      <c r="G274" s="611"/>
      <c r="H274" s="611"/>
      <c r="I274" s="611"/>
      <c r="J274" s="612"/>
    </row>
    <row r="275" spans="1:10" ht="12.75" customHeight="1" x14ac:dyDescent="0.2">
      <c r="A275" s="610"/>
      <c r="B275" s="611"/>
      <c r="C275" s="611"/>
      <c r="D275" s="611"/>
      <c r="E275" s="611"/>
      <c r="F275" s="611"/>
      <c r="G275" s="611"/>
      <c r="H275" s="611"/>
      <c r="I275" s="611"/>
      <c r="J275" s="612"/>
    </row>
    <row r="276" spans="1:10" ht="12.75" customHeight="1" x14ac:dyDescent="0.2">
      <c r="A276" s="610"/>
      <c r="B276" s="611"/>
      <c r="C276" s="611"/>
      <c r="D276" s="611"/>
      <c r="E276" s="611"/>
      <c r="F276" s="611"/>
      <c r="G276" s="611"/>
      <c r="H276" s="611"/>
      <c r="I276" s="611"/>
      <c r="J276" s="612"/>
    </row>
    <row r="277" spans="1:10" ht="12.75" customHeight="1" x14ac:dyDescent="0.2">
      <c r="A277" s="610"/>
      <c r="B277" s="611"/>
      <c r="C277" s="611"/>
      <c r="D277" s="611"/>
      <c r="E277" s="611"/>
      <c r="F277" s="611"/>
      <c r="G277" s="611"/>
      <c r="H277" s="611"/>
      <c r="I277" s="611"/>
      <c r="J277" s="612"/>
    </row>
    <row r="278" spans="1:10" ht="12.75" customHeight="1" x14ac:dyDescent="0.2">
      <c r="A278" s="610"/>
      <c r="B278" s="611"/>
      <c r="C278" s="611"/>
      <c r="D278" s="611"/>
      <c r="E278" s="611"/>
      <c r="F278" s="611"/>
      <c r="G278" s="611"/>
      <c r="H278" s="611"/>
      <c r="I278" s="611"/>
      <c r="J278" s="612"/>
    </row>
    <row r="279" spans="1:10" ht="12.75" customHeight="1" x14ac:dyDescent="0.2">
      <c r="A279" s="610"/>
      <c r="B279" s="611"/>
      <c r="C279" s="611"/>
      <c r="D279" s="611"/>
      <c r="E279" s="611"/>
      <c r="F279" s="611"/>
      <c r="G279" s="611"/>
      <c r="H279" s="611"/>
      <c r="I279" s="611"/>
      <c r="J279" s="612"/>
    </row>
    <row r="280" spans="1:10" ht="12.75" customHeight="1" x14ac:dyDescent="0.2">
      <c r="A280" s="610"/>
      <c r="B280" s="611"/>
      <c r="C280" s="611"/>
      <c r="D280" s="611"/>
      <c r="E280" s="611"/>
      <c r="F280" s="611"/>
      <c r="G280" s="611"/>
      <c r="H280" s="611"/>
      <c r="I280" s="611"/>
      <c r="J280" s="612"/>
    </row>
    <row r="281" spans="1:10" ht="12.75" customHeight="1" x14ac:dyDescent="0.2">
      <c r="A281" s="610"/>
      <c r="B281" s="611"/>
      <c r="C281" s="611"/>
      <c r="D281" s="611"/>
      <c r="E281" s="611"/>
      <c r="F281" s="611"/>
      <c r="G281" s="611"/>
      <c r="H281" s="611"/>
      <c r="I281" s="611"/>
      <c r="J281" s="612"/>
    </row>
    <row r="282" spans="1:10" ht="12.75" customHeight="1" x14ac:dyDescent="0.2">
      <c r="A282" s="610"/>
      <c r="B282" s="611"/>
      <c r="C282" s="611"/>
      <c r="D282" s="611"/>
      <c r="E282" s="611"/>
      <c r="F282" s="611"/>
      <c r="G282" s="611"/>
      <c r="H282" s="611"/>
      <c r="I282" s="611"/>
      <c r="J282" s="612"/>
    </row>
    <row r="283" spans="1:10" ht="12.75" customHeight="1" x14ac:dyDescent="0.2">
      <c r="A283" s="610"/>
      <c r="B283" s="611"/>
      <c r="C283" s="611"/>
      <c r="D283" s="611"/>
      <c r="E283" s="611"/>
      <c r="F283" s="611"/>
      <c r="G283" s="611"/>
      <c r="H283" s="611"/>
      <c r="I283" s="611"/>
      <c r="J283" s="612"/>
    </row>
    <row r="284" spans="1:10" ht="12.75" customHeight="1" x14ac:dyDescent="0.2">
      <c r="A284" s="610"/>
      <c r="B284" s="611"/>
      <c r="C284" s="611"/>
      <c r="D284" s="611"/>
      <c r="E284" s="611"/>
      <c r="F284" s="611"/>
      <c r="G284" s="611"/>
      <c r="H284" s="611"/>
      <c r="I284" s="611"/>
      <c r="J284" s="612"/>
    </row>
    <row r="285" spans="1:10" ht="12.75" customHeight="1" x14ac:dyDescent="0.2">
      <c r="A285" s="610"/>
      <c r="B285" s="611"/>
      <c r="C285" s="611"/>
      <c r="D285" s="611"/>
      <c r="E285" s="611"/>
      <c r="F285" s="611"/>
      <c r="G285" s="611"/>
      <c r="H285" s="611"/>
      <c r="I285" s="611"/>
      <c r="J285" s="612"/>
    </row>
    <row r="286" spans="1:10" ht="12.75" customHeight="1" x14ac:dyDescent="0.2">
      <c r="A286" s="610"/>
      <c r="B286" s="611"/>
      <c r="C286" s="611"/>
      <c r="D286" s="611"/>
      <c r="E286" s="611"/>
      <c r="F286" s="611"/>
      <c r="G286" s="611"/>
      <c r="H286" s="611"/>
      <c r="I286" s="611"/>
      <c r="J286" s="612"/>
    </row>
    <row r="287" spans="1:10" ht="12.75" customHeight="1" x14ac:dyDescent="0.2">
      <c r="A287" s="610"/>
      <c r="B287" s="611"/>
      <c r="C287" s="611"/>
      <c r="D287" s="611"/>
      <c r="E287" s="611"/>
      <c r="F287" s="611"/>
      <c r="G287" s="611"/>
      <c r="H287" s="611"/>
      <c r="I287" s="611"/>
      <c r="J287" s="612"/>
    </row>
    <row r="288" spans="1:10" ht="12.75" customHeight="1" x14ac:dyDescent="0.2">
      <c r="A288" s="610"/>
      <c r="B288" s="611"/>
      <c r="C288" s="611"/>
      <c r="D288" s="611"/>
      <c r="E288" s="611"/>
      <c r="F288" s="611"/>
      <c r="G288" s="611"/>
      <c r="H288" s="611"/>
      <c r="I288" s="611"/>
      <c r="J288" s="612"/>
    </row>
    <row r="289" spans="1:10" ht="12.75" customHeight="1" x14ac:dyDescent="0.2">
      <c r="A289" s="610"/>
      <c r="B289" s="611"/>
      <c r="C289" s="611"/>
      <c r="D289" s="611"/>
      <c r="E289" s="611"/>
      <c r="F289" s="611"/>
      <c r="G289" s="611"/>
      <c r="H289" s="611"/>
      <c r="I289" s="611"/>
      <c r="J289" s="612"/>
    </row>
    <row r="290" spans="1:10" ht="12.75" customHeight="1" x14ac:dyDescent="0.2">
      <c r="A290" s="610"/>
      <c r="B290" s="611"/>
      <c r="C290" s="611"/>
      <c r="D290" s="611"/>
      <c r="E290" s="611"/>
      <c r="F290" s="611"/>
      <c r="G290" s="611"/>
      <c r="H290" s="611"/>
      <c r="I290" s="611"/>
      <c r="J290" s="612"/>
    </row>
    <row r="291" spans="1:10" ht="12.75" customHeight="1" x14ac:dyDescent="0.2">
      <c r="A291" s="610"/>
      <c r="B291" s="611"/>
      <c r="C291" s="611"/>
      <c r="D291" s="611"/>
      <c r="E291" s="611"/>
      <c r="F291" s="611"/>
      <c r="G291" s="611"/>
      <c r="H291" s="611"/>
      <c r="I291" s="611"/>
      <c r="J291" s="612"/>
    </row>
    <row r="292" spans="1:10" ht="12.75" customHeight="1" x14ac:dyDescent="0.2">
      <c r="A292" s="610"/>
      <c r="B292" s="611"/>
      <c r="C292" s="611"/>
      <c r="D292" s="611"/>
      <c r="E292" s="611"/>
      <c r="F292" s="611"/>
      <c r="G292" s="611"/>
      <c r="H292" s="611"/>
      <c r="I292" s="611"/>
      <c r="J292" s="612"/>
    </row>
    <row r="293" spans="1:10" ht="12.75" customHeight="1" x14ac:dyDescent="0.2">
      <c r="A293" s="610"/>
      <c r="B293" s="611"/>
      <c r="C293" s="611"/>
      <c r="D293" s="611"/>
      <c r="E293" s="611"/>
      <c r="F293" s="611"/>
      <c r="G293" s="611"/>
      <c r="H293" s="611"/>
      <c r="I293" s="611"/>
      <c r="J293" s="612"/>
    </row>
    <row r="294" spans="1:10" ht="12.75" customHeight="1" x14ac:dyDescent="0.2">
      <c r="A294" s="610"/>
      <c r="B294" s="611"/>
      <c r="C294" s="611"/>
      <c r="D294" s="611"/>
      <c r="E294" s="611"/>
      <c r="F294" s="611"/>
      <c r="G294" s="611"/>
      <c r="H294" s="611"/>
      <c r="I294" s="611"/>
      <c r="J294" s="612"/>
    </row>
    <row r="295" spans="1:10" s="61" customFormat="1" x14ac:dyDescent="0.2">
      <c r="A295" s="55"/>
      <c r="B295" s="56"/>
      <c r="C295" s="57"/>
      <c r="D295" s="58"/>
      <c r="E295" s="58"/>
      <c r="F295" s="58"/>
      <c r="G295" s="58"/>
      <c r="H295" s="59"/>
      <c r="I295" s="57"/>
      <c r="J295" s="60"/>
    </row>
    <row r="296" spans="1:10" s="61" customFormat="1" ht="25.5" customHeight="1" x14ac:dyDescent="0.2">
      <c r="A296" s="619" t="s">
        <v>197</v>
      </c>
      <c r="B296" s="620"/>
      <c r="C296" s="620"/>
      <c r="D296" s="620"/>
      <c r="E296" s="620"/>
      <c r="F296" s="621"/>
      <c r="G296" s="622"/>
      <c r="H296" s="622"/>
      <c r="I296" s="622"/>
      <c r="J296" s="623"/>
    </row>
    <row r="297" spans="1:10" s="61" customFormat="1" ht="12.75" customHeight="1" x14ac:dyDescent="0.2">
      <c r="A297" s="348" t="s">
        <v>301</v>
      </c>
      <c r="B297" s="349"/>
      <c r="C297" s="349"/>
      <c r="D297" s="349"/>
      <c r="E297" s="349"/>
      <c r="F297" s="614"/>
      <c r="G297" s="614"/>
      <c r="H297" s="614"/>
      <c r="I297" s="614"/>
      <c r="J297" s="615"/>
    </row>
    <row r="298" spans="1:10" ht="12.75" customHeight="1" x14ac:dyDescent="0.2">
      <c r="A298" s="593" t="s">
        <v>368</v>
      </c>
      <c r="B298" s="594"/>
      <c r="C298" s="594"/>
      <c r="D298" s="594"/>
      <c r="E298" s="594"/>
      <c r="F298" s="594"/>
      <c r="G298" s="594"/>
      <c r="H298" s="594"/>
      <c r="I298" s="594"/>
      <c r="J298" s="595"/>
    </row>
    <row r="299" spans="1:10" ht="12.75" customHeight="1" x14ac:dyDescent="0.2">
      <c r="A299" s="596"/>
      <c r="B299" s="597"/>
      <c r="C299" s="597"/>
      <c r="D299" s="597"/>
      <c r="E299" s="597"/>
      <c r="F299" s="597"/>
      <c r="G299" s="597"/>
      <c r="H299" s="597"/>
      <c r="I299" s="597"/>
      <c r="J299" s="598"/>
    </row>
    <row r="300" spans="1:10" ht="12.75" customHeight="1" x14ac:dyDescent="0.2">
      <c r="A300" s="596"/>
      <c r="B300" s="597"/>
      <c r="C300" s="597"/>
      <c r="D300" s="597"/>
      <c r="E300" s="597"/>
      <c r="F300" s="597"/>
      <c r="G300" s="597"/>
      <c r="H300" s="597"/>
      <c r="I300" s="597"/>
      <c r="J300" s="598"/>
    </row>
    <row r="301" spans="1:10" ht="15" customHeight="1" x14ac:dyDescent="0.2">
      <c r="A301" s="599"/>
      <c r="B301" s="600"/>
      <c r="C301" s="600"/>
      <c r="D301" s="600"/>
      <c r="E301" s="600"/>
      <c r="F301" s="600"/>
      <c r="G301" s="600"/>
      <c r="H301" s="600"/>
      <c r="I301" s="600"/>
      <c r="J301" s="601"/>
    </row>
    <row r="302" spans="1:10" ht="12.75" customHeight="1" x14ac:dyDescent="0.2">
      <c r="A302" s="610"/>
      <c r="B302" s="611"/>
      <c r="C302" s="611"/>
      <c r="D302" s="611"/>
      <c r="E302" s="611"/>
      <c r="F302" s="611"/>
      <c r="G302" s="611"/>
      <c r="H302" s="611"/>
      <c r="I302" s="611"/>
      <c r="J302" s="612"/>
    </row>
    <row r="303" spans="1:10" ht="12.75" customHeight="1" x14ac:dyDescent="0.2">
      <c r="A303" s="610"/>
      <c r="B303" s="611"/>
      <c r="C303" s="611"/>
      <c r="D303" s="611"/>
      <c r="E303" s="611"/>
      <c r="F303" s="611"/>
      <c r="G303" s="611"/>
      <c r="H303" s="611"/>
      <c r="I303" s="611"/>
      <c r="J303" s="612"/>
    </row>
    <row r="304" spans="1:10" ht="12.75" customHeight="1" x14ac:dyDescent="0.2">
      <c r="A304" s="610"/>
      <c r="B304" s="611"/>
      <c r="C304" s="611"/>
      <c r="D304" s="611"/>
      <c r="E304" s="611"/>
      <c r="F304" s="611"/>
      <c r="G304" s="611"/>
      <c r="H304" s="611"/>
      <c r="I304" s="611"/>
      <c r="J304" s="612"/>
    </row>
    <row r="305" spans="1:10" ht="12.75" customHeight="1" x14ac:dyDescent="0.2">
      <c r="A305" s="610"/>
      <c r="B305" s="611"/>
      <c r="C305" s="611"/>
      <c r="D305" s="611"/>
      <c r="E305" s="611"/>
      <c r="F305" s="611"/>
      <c r="G305" s="611"/>
      <c r="H305" s="611"/>
      <c r="I305" s="611"/>
      <c r="J305" s="612"/>
    </row>
    <row r="306" spans="1:10" ht="12.75" customHeight="1" x14ac:dyDescent="0.2">
      <c r="A306" s="610"/>
      <c r="B306" s="611"/>
      <c r="C306" s="611"/>
      <c r="D306" s="611"/>
      <c r="E306" s="611"/>
      <c r="F306" s="611"/>
      <c r="G306" s="611"/>
      <c r="H306" s="611"/>
      <c r="I306" s="611"/>
      <c r="J306" s="612"/>
    </row>
    <row r="307" spans="1:10" ht="12.75" customHeight="1" x14ac:dyDescent="0.2">
      <c r="A307" s="610"/>
      <c r="B307" s="611"/>
      <c r="C307" s="611"/>
      <c r="D307" s="611"/>
      <c r="E307" s="611"/>
      <c r="F307" s="611"/>
      <c r="G307" s="611"/>
      <c r="H307" s="611"/>
      <c r="I307" s="611"/>
      <c r="J307" s="612"/>
    </row>
    <row r="308" spans="1:10" ht="12.75" customHeight="1" x14ac:dyDescent="0.2">
      <c r="A308" s="610"/>
      <c r="B308" s="611"/>
      <c r="C308" s="611"/>
      <c r="D308" s="611"/>
      <c r="E308" s="611"/>
      <c r="F308" s="611"/>
      <c r="G308" s="611"/>
      <c r="H308" s="611"/>
      <c r="I308" s="611"/>
      <c r="J308" s="612"/>
    </row>
    <row r="309" spans="1:10" ht="12.75" customHeight="1" x14ac:dyDescent="0.2">
      <c r="A309" s="610"/>
      <c r="B309" s="611"/>
      <c r="C309" s="611"/>
      <c r="D309" s="611"/>
      <c r="E309" s="611"/>
      <c r="F309" s="611"/>
      <c r="G309" s="611"/>
      <c r="H309" s="611"/>
      <c r="I309" s="611"/>
      <c r="J309" s="612"/>
    </row>
    <row r="310" spans="1:10" ht="12.75" customHeight="1" x14ac:dyDescent="0.2">
      <c r="A310" s="610"/>
      <c r="B310" s="611"/>
      <c r="C310" s="611"/>
      <c r="D310" s="611"/>
      <c r="E310" s="611"/>
      <c r="F310" s="611"/>
      <c r="G310" s="611"/>
      <c r="H310" s="611"/>
      <c r="I310" s="611"/>
      <c r="J310" s="612"/>
    </row>
    <row r="311" spans="1:10" ht="12.75" customHeight="1" x14ac:dyDescent="0.2">
      <c r="A311" s="610"/>
      <c r="B311" s="611"/>
      <c r="C311" s="611"/>
      <c r="D311" s="611"/>
      <c r="E311" s="611"/>
      <c r="F311" s="611"/>
      <c r="G311" s="611"/>
      <c r="H311" s="611"/>
      <c r="I311" s="611"/>
      <c r="J311" s="612"/>
    </row>
    <row r="312" spans="1:10" ht="12.75" customHeight="1" x14ac:dyDescent="0.2">
      <c r="A312" s="610"/>
      <c r="B312" s="611"/>
      <c r="C312" s="611"/>
      <c r="D312" s="611"/>
      <c r="E312" s="611"/>
      <c r="F312" s="611"/>
      <c r="G312" s="611"/>
      <c r="H312" s="611"/>
      <c r="I312" s="611"/>
      <c r="J312" s="612"/>
    </row>
    <row r="313" spans="1:10" ht="12.75" customHeight="1" x14ac:dyDescent="0.2">
      <c r="A313" s="610"/>
      <c r="B313" s="611"/>
      <c r="C313" s="611"/>
      <c r="D313" s="611"/>
      <c r="E313" s="611"/>
      <c r="F313" s="611"/>
      <c r="G313" s="611"/>
      <c r="H313" s="611"/>
      <c r="I313" s="611"/>
      <c r="J313" s="612"/>
    </row>
    <row r="314" spans="1:10" ht="12.75" customHeight="1" x14ac:dyDescent="0.2">
      <c r="A314" s="610"/>
      <c r="B314" s="611"/>
      <c r="C314" s="611"/>
      <c r="D314" s="611"/>
      <c r="E314" s="611"/>
      <c r="F314" s="611"/>
      <c r="G314" s="611"/>
      <c r="H314" s="611"/>
      <c r="I314" s="611"/>
      <c r="J314" s="612"/>
    </row>
    <row r="315" spans="1:10" ht="12.75" customHeight="1" x14ac:dyDescent="0.2">
      <c r="A315" s="610"/>
      <c r="B315" s="611"/>
      <c r="C315" s="611"/>
      <c r="D315" s="611"/>
      <c r="E315" s="611"/>
      <c r="F315" s="611"/>
      <c r="G315" s="611"/>
      <c r="H315" s="611"/>
      <c r="I315" s="611"/>
      <c r="J315" s="612"/>
    </row>
    <row r="316" spans="1:10" ht="12.75" customHeight="1" x14ac:dyDescent="0.2">
      <c r="A316" s="610"/>
      <c r="B316" s="611"/>
      <c r="C316" s="611"/>
      <c r="D316" s="611"/>
      <c r="E316" s="611"/>
      <c r="F316" s="611"/>
      <c r="G316" s="611"/>
      <c r="H316" s="611"/>
      <c r="I316" s="611"/>
      <c r="J316" s="612"/>
    </row>
    <row r="317" spans="1:10" ht="12.75" customHeight="1" x14ac:dyDescent="0.2">
      <c r="A317" s="610"/>
      <c r="B317" s="611"/>
      <c r="C317" s="611"/>
      <c r="D317" s="611"/>
      <c r="E317" s="611"/>
      <c r="F317" s="611"/>
      <c r="G317" s="611"/>
      <c r="H317" s="611"/>
      <c r="I317" s="611"/>
      <c r="J317" s="612"/>
    </row>
    <row r="318" spans="1:10" ht="12.75" customHeight="1" x14ac:dyDescent="0.2">
      <c r="A318" s="610"/>
      <c r="B318" s="611"/>
      <c r="C318" s="611"/>
      <c r="D318" s="611"/>
      <c r="E318" s="611"/>
      <c r="F318" s="611"/>
      <c r="G318" s="611"/>
      <c r="H318" s="611"/>
      <c r="I318" s="611"/>
      <c r="J318" s="612"/>
    </row>
    <row r="319" spans="1:10" ht="12.75" customHeight="1" x14ac:dyDescent="0.2">
      <c r="A319" s="610"/>
      <c r="B319" s="611"/>
      <c r="C319" s="611"/>
      <c r="D319" s="611"/>
      <c r="E319" s="611"/>
      <c r="F319" s="611"/>
      <c r="G319" s="611"/>
      <c r="H319" s="611"/>
      <c r="I319" s="611"/>
      <c r="J319" s="612"/>
    </row>
    <row r="320" spans="1:10" ht="12.75" customHeight="1" x14ac:dyDescent="0.2">
      <c r="A320" s="610"/>
      <c r="B320" s="611"/>
      <c r="C320" s="611"/>
      <c r="D320" s="611"/>
      <c r="E320" s="611"/>
      <c r="F320" s="611"/>
      <c r="G320" s="611"/>
      <c r="H320" s="611"/>
      <c r="I320" s="611"/>
      <c r="J320" s="612"/>
    </row>
    <row r="321" spans="1:10" ht="12.75" customHeight="1" x14ac:dyDescent="0.2">
      <c r="A321" s="610"/>
      <c r="B321" s="611"/>
      <c r="C321" s="611"/>
      <c r="D321" s="611"/>
      <c r="E321" s="611"/>
      <c r="F321" s="611"/>
      <c r="G321" s="611"/>
      <c r="H321" s="611"/>
      <c r="I321" s="611"/>
      <c r="J321" s="612"/>
    </row>
    <row r="322" spans="1:10" ht="12.75" customHeight="1" x14ac:dyDescent="0.2">
      <c r="A322" s="610"/>
      <c r="B322" s="611"/>
      <c r="C322" s="611"/>
      <c r="D322" s="611"/>
      <c r="E322" s="611"/>
      <c r="F322" s="611"/>
      <c r="G322" s="611"/>
      <c r="H322" s="611"/>
      <c r="I322" s="611"/>
      <c r="J322" s="612"/>
    </row>
    <row r="323" spans="1:10" ht="12.75" customHeight="1" x14ac:dyDescent="0.2">
      <c r="A323" s="610"/>
      <c r="B323" s="611"/>
      <c r="C323" s="611"/>
      <c r="D323" s="611"/>
      <c r="E323" s="611"/>
      <c r="F323" s="611"/>
      <c r="G323" s="611"/>
      <c r="H323" s="611"/>
      <c r="I323" s="611"/>
      <c r="J323" s="612"/>
    </row>
    <row r="324" spans="1:10" ht="12.75" customHeight="1" x14ac:dyDescent="0.2">
      <c r="A324" s="610"/>
      <c r="B324" s="611"/>
      <c r="C324" s="611"/>
      <c r="D324" s="611"/>
      <c r="E324" s="611"/>
      <c r="F324" s="611"/>
      <c r="G324" s="611"/>
      <c r="H324" s="611"/>
      <c r="I324" s="611"/>
      <c r="J324" s="612"/>
    </row>
    <row r="325" spans="1:10" ht="12.75" customHeight="1" x14ac:dyDescent="0.2">
      <c r="A325" s="610"/>
      <c r="B325" s="611"/>
      <c r="C325" s="611"/>
      <c r="D325" s="611"/>
      <c r="E325" s="611"/>
      <c r="F325" s="611"/>
      <c r="G325" s="611"/>
      <c r="H325" s="611"/>
      <c r="I325" s="611"/>
      <c r="J325" s="612"/>
    </row>
    <row r="326" spans="1:10" ht="12.75" customHeight="1" x14ac:dyDescent="0.2">
      <c r="A326" s="610"/>
      <c r="B326" s="611"/>
      <c r="C326" s="611"/>
      <c r="D326" s="611"/>
      <c r="E326" s="611"/>
      <c r="F326" s="611"/>
      <c r="G326" s="611"/>
      <c r="H326" s="611"/>
      <c r="I326" s="611"/>
      <c r="J326" s="612"/>
    </row>
    <row r="327" spans="1:10" ht="12.75" customHeight="1" x14ac:dyDescent="0.2">
      <c r="A327" s="610"/>
      <c r="B327" s="611"/>
      <c r="C327" s="611"/>
      <c r="D327" s="611"/>
      <c r="E327" s="611"/>
      <c r="F327" s="611"/>
      <c r="G327" s="611"/>
      <c r="H327" s="611"/>
      <c r="I327" s="611"/>
      <c r="J327" s="612"/>
    </row>
    <row r="328" spans="1:10" ht="12.75" customHeight="1" x14ac:dyDescent="0.2">
      <c r="A328" s="610"/>
      <c r="B328" s="611"/>
      <c r="C328" s="611"/>
      <c r="D328" s="611"/>
      <c r="E328" s="611"/>
      <c r="F328" s="611"/>
      <c r="G328" s="611"/>
      <c r="H328" s="611"/>
      <c r="I328" s="611"/>
      <c r="J328" s="612"/>
    </row>
    <row r="329" spans="1:10" ht="12.75" customHeight="1" x14ac:dyDescent="0.2">
      <c r="A329" s="610"/>
      <c r="B329" s="611"/>
      <c r="C329" s="611"/>
      <c r="D329" s="611"/>
      <c r="E329" s="611"/>
      <c r="F329" s="611"/>
      <c r="G329" s="611"/>
      <c r="H329" s="611"/>
      <c r="I329" s="611"/>
      <c r="J329" s="612"/>
    </row>
    <row r="330" spans="1:10" ht="12.75" customHeight="1" x14ac:dyDescent="0.2">
      <c r="A330" s="610"/>
      <c r="B330" s="611"/>
      <c r="C330" s="611"/>
      <c r="D330" s="611"/>
      <c r="E330" s="611"/>
      <c r="F330" s="611"/>
      <c r="G330" s="611"/>
      <c r="H330" s="611"/>
      <c r="I330" s="611"/>
      <c r="J330" s="612"/>
    </row>
    <row r="331" spans="1:10" ht="12.75" customHeight="1" x14ac:dyDescent="0.2">
      <c r="A331" s="610"/>
      <c r="B331" s="611"/>
      <c r="C331" s="611"/>
      <c r="D331" s="611"/>
      <c r="E331" s="611"/>
      <c r="F331" s="611"/>
      <c r="G331" s="611"/>
      <c r="H331" s="611"/>
      <c r="I331" s="611"/>
      <c r="J331" s="612"/>
    </row>
    <row r="332" spans="1:10" ht="12.75" customHeight="1" x14ac:dyDescent="0.2">
      <c r="A332" s="610"/>
      <c r="B332" s="611"/>
      <c r="C332" s="611"/>
      <c r="D332" s="611"/>
      <c r="E332" s="611"/>
      <c r="F332" s="611"/>
      <c r="G332" s="611"/>
      <c r="H332" s="611"/>
      <c r="I332" s="611"/>
      <c r="J332" s="612"/>
    </row>
    <row r="333" spans="1:10" ht="12.75" customHeight="1" x14ac:dyDescent="0.2">
      <c r="A333" s="610"/>
      <c r="B333" s="611"/>
      <c r="C333" s="611"/>
      <c r="D333" s="611"/>
      <c r="E333" s="611"/>
      <c r="F333" s="611"/>
      <c r="G333" s="611"/>
      <c r="H333" s="611"/>
      <c r="I333" s="611"/>
      <c r="J333" s="612"/>
    </row>
    <row r="334" spans="1:10" ht="12.75" customHeight="1" x14ac:dyDescent="0.2">
      <c r="A334" s="610"/>
      <c r="B334" s="611"/>
      <c r="C334" s="611"/>
      <c r="D334" s="611"/>
      <c r="E334" s="611"/>
      <c r="F334" s="611"/>
      <c r="G334" s="611"/>
      <c r="H334" s="611"/>
      <c r="I334" s="611"/>
      <c r="J334" s="612"/>
    </row>
    <row r="335" spans="1:10" ht="12.75" customHeight="1" x14ac:dyDescent="0.2">
      <c r="A335" s="610"/>
      <c r="B335" s="611"/>
      <c r="C335" s="611"/>
      <c r="D335" s="611"/>
      <c r="E335" s="611"/>
      <c r="F335" s="611"/>
      <c r="G335" s="611"/>
      <c r="H335" s="611"/>
      <c r="I335" s="611"/>
      <c r="J335" s="612"/>
    </row>
    <row r="336" spans="1:10" ht="12.75" customHeight="1" x14ac:dyDescent="0.2">
      <c r="A336" s="610"/>
      <c r="B336" s="611"/>
      <c r="C336" s="611"/>
      <c r="D336" s="611"/>
      <c r="E336" s="611"/>
      <c r="F336" s="611"/>
      <c r="G336" s="611"/>
      <c r="H336" s="611"/>
      <c r="I336" s="611"/>
      <c r="J336" s="612"/>
    </row>
    <row r="337" spans="1:10" s="61" customFormat="1" x14ac:dyDescent="0.2">
      <c r="A337" s="55"/>
      <c r="B337" s="56"/>
      <c r="C337" s="57"/>
      <c r="D337" s="58"/>
      <c r="E337" s="58"/>
      <c r="F337" s="58"/>
      <c r="G337" s="58"/>
      <c r="H337" s="59"/>
      <c r="I337" s="57"/>
      <c r="J337" s="60"/>
    </row>
    <row r="338" spans="1:10" s="61" customFormat="1" ht="25.5" customHeight="1" x14ac:dyDescent="0.2">
      <c r="A338" s="619" t="s">
        <v>196</v>
      </c>
      <c r="B338" s="620"/>
      <c r="C338" s="620"/>
      <c r="D338" s="620"/>
      <c r="E338" s="620"/>
      <c r="F338" s="621"/>
      <c r="G338" s="622"/>
      <c r="H338" s="622"/>
      <c r="I338" s="622"/>
      <c r="J338" s="623"/>
    </row>
    <row r="339" spans="1:10" s="61" customFormat="1" ht="12.75" customHeight="1" x14ac:dyDescent="0.2">
      <c r="A339" s="348" t="s">
        <v>301</v>
      </c>
      <c r="B339" s="349"/>
      <c r="C339" s="349"/>
      <c r="D339" s="349"/>
      <c r="E339" s="349"/>
      <c r="F339" s="614"/>
      <c r="G339" s="614"/>
      <c r="H339" s="614"/>
      <c r="I339" s="614"/>
      <c r="J339" s="615"/>
    </row>
    <row r="340" spans="1:10" ht="12.75" customHeight="1" x14ac:dyDescent="0.2">
      <c r="A340" s="593" t="s">
        <v>368</v>
      </c>
      <c r="B340" s="594"/>
      <c r="C340" s="594"/>
      <c r="D340" s="594"/>
      <c r="E340" s="594"/>
      <c r="F340" s="594"/>
      <c r="G340" s="594"/>
      <c r="H340" s="594"/>
      <c r="I340" s="594"/>
      <c r="J340" s="595"/>
    </row>
    <row r="341" spans="1:10" ht="12.75" customHeight="1" x14ac:dyDescent="0.2">
      <c r="A341" s="596"/>
      <c r="B341" s="597"/>
      <c r="C341" s="597"/>
      <c r="D341" s="597"/>
      <c r="E341" s="597"/>
      <c r="F341" s="597"/>
      <c r="G341" s="597"/>
      <c r="H341" s="597"/>
      <c r="I341" s="597"/>
      <c r="J341" s="598"/>
    </row>
    <row r="342" spans="1:10" ht="12.75" customHeight="1" x14ac:dyDescent="0.2">
      <c r="A342" s="596"/>
      <c r="B342" s="597"/>
      <c r="C342" s="597"/>
      <c r="D342" s="597"/>
      <c r="E342" s="597"/>
      <c r="F342" s="597"/>
      <c r="G342" s="597"/>
      <c r="H342" s="597"/>
      <c r="I342" s="597"/>
      <c r="J342" s="598"/>
    </row>
    <row r="343" spans="1:10" ht="15" customHeight="1" x14ac:dyDescent="0.2">
      <c r="A343" s="599"/>
      <c r="B343" s="600"/>
      <c r="C343" s="600"/>
      <c r="D343" s="600"/>
      <c r="E343" s="600"/>
      <c r="F343" s="600"/>
      <c r="G343" s="600"/>
      <c r="H343" s="600"/>
      <c r="I343" s="600"/>
      <c r="J343" s="601"/>
    </row>
    <row r="344" spans="1:10" ht="12.75" customHeight="1" x14ac:dyDescent="0.2">
      <c r="A344" s="610"/>
      <c r="B344" s="611"/>
      <c r="C344" s="611"/>
      <c r="D344" s="611"/>
      <c r="E344" s="611"/>
      <c r="F344" s="611"/>
      <c r="G344" s="611"/>
      <c r="H344" s="611"/>
      <c r="I344" s="611"/>
      <c r="J344" s="612"/>
    </row>
    <row r="345" spans="1:10" ht="12.75" customHeight="1" x14ac:dyDescent="0.2">
      <c r="A345" s="610"/>
      <c r="B345" s="611"/>
      <c r="C345" s="611"/>
      <c r="D345" s="611"/>
      <c r="E345" s="611"/>
      <c r="F345" s="611"/>
      <c r="G345" s="611"/>
      <c r="H345" s="611"/>
      <c r="I345" s="611"/>
      <c r="J345" s="612"/>
    </row>
    <row r="346" spans="1:10" ht="12.75" customHeight="1" x14ac:dyDescent="0.2">
      <c r="A346" s="610"/>
      <c r="B346" s="611"/>
      <c r="C346" s="611"/>
      <c r="D346" s="611"/>
      <c r="E346" s="611"/>
      <c r="F346" s="611"/>
      <c r="G346" s="611"/>
      <c r="H346" s="611"/>
      <c r="I346" s="611"/>
      <c r="J346" s="612"/>
    </row>
    <row r="347" spans="1:10" ht="12.75" customHeight="1" x14ac:dyDescent="0.2">
      <c r="A347" s="610"/>
      <c r="B347" s="611"/>
      <c r="C347" s="611"/>
      <c r="D347" s="611"/>
      <c r="E347" s="611"/>
      <c r="F347" s="611"/>
      <c r="G347" s="611"/>
      <c r="H347" s="611"/>
      <c r="I347" s="611"/>
      <c r="J347" s="612"/>
    </row>
    <row r="348" spans="1:10" ht="12.75" customHeight="1" x14ac:dyDescent="0.2">
      <c r="A348" s="610"/>
      <c r="B348" s="611"/>
      <c r="C348" s="611"/>
      <c r="D348" s="611"/>
      <c r="E348" s="611"/>
      <c r="F348" s="611"/>
      <c r="G348" s="611"/>
      <c r="H348" s="611"/>
      <c r="I348" s="611"/>
      <c r="J348" s="612"/>
    </row>
    <row r="349" spans="1:10" ht="12.75" customHeight="1" x14ac:dyDescent="0.2">
      <c r="A349" s="610"/>
      <c r="B349" s="611"/>
      <c r="C349" s="611"/>
      <c r="D349" s="611"/>
      <c r="E349" s="611"/>
      <c r="F349" s="611"/>
      <c r="G349" s="611"/>
      <c r="H349" s="611"/>
      <c r="I349" s="611"/>
      <c r="J349" s="612"/>
    </row>
    <row r="350" spans="1:10" ht="12.75" customHeight="1" x14ac:dyDescent="0.2">
      <c r="A350" s="610"/>
      <c r="B350" s="611"/>
      <c r="C350" s="611"/>
      <c r="D350" s="611"/>
      <c r="E350" s="611"/>
      <c r="F350" s="611"/>
      <c r="G350" s="611"/>
      <c r="H350" s="611"/>
      <c r="I350" s="611"/>
      <c r="J350" s="612"/>
    </row>
    <row r="351" spans="1:10" ht="12.75" customHeight="1" x14ac:dyDescent="0.2">
      <c r="A351" s="610"/>
      <c r="B351" s="611"/>
      <c r="C351" s="611"/>
      <c r="D351" s="611"/>
      <c r="E351" s="611"/>
      <c r="F351" s="611"/>
      <c r="G351" s="611"/>
      <c r="H351" s="611"/>
      <c r="I351" s="611"/>
      <c r="J351" s="612"/>
    </row>
    <row r="352" spans="1:10" ht="12.75" customHeight="1" x14ac:dyDescent="0.2">
      <c r="A352" s="610"/>
      <c r="B352" s="611"/>
      <c r="C352" s="611"/>
      <c r="D352" s="611"/>
      <c r="E352" s="611"/>
      <c r="F352" s="611"/>
      <c r="G352" s="611"/>
      <c r="H352" s="611"/>
      <c r="I352" s="611"/>
      <c r="J352" s="612"/>
    </row>
    <row r="353" spans="1:10" ht="12.75" customHeight="1" x14ac:dyDescent="0.2">
      <c r="A353" s="610"/>
      <c r="B353" s="611"/>
      <c r="C353" s="611"/>
      <c r="D353" s="611"/>
      <c r="E353" s="611"/>
      <c r="F353" s="611"/>
      <c r="G353" s="611"/>
      <c r="H353" s="611"/>
      <c r="I353" s="611"/>
      <c r="J353" s="612"/>
    </row>
    <row r="354" spans="1:10" ht="12.75" customHeight="1" x14ac:dyDescent="0.2">
      <c r="A354" s="610"/>
      <c r="B354" s="611"/>
      <c r="C354" s="611"/>
      <c r="D354" s="611"/>
      <c r="E354" s="611"/>
      <c r="F354" s="611"/>
      <c r="G354" s="611"/>
      <c r="H354" s="611"/>
      <c r="I354" s="611"/>
      <c r="J354" s="612"/>
    </row>
    <row r="355" spans="1:10" ht="12.75" customHeight="1" x14ac:dyDescent="0.2">
      <c r="A355" s="610"/>
      <c r="B355" s="611"/>
      <c r="C355" s="611"/>
      <c r="D355" s="611"/>
      <c r="E355" s="611"/>
      <c r="F355" s="611"/>
      <c r="G355" s="611"/>
      <c r="H355" s="611"/>
      <c r="I355" s="611"/>
      <c r="J355" s="612"/>
    </row>
    <row r="356" spans="1:10" ht="12.75" customHeight="1" x14ac:dyDescent="0.2">
      <c r="A356" s="610"/>
      <c r="B356" s="611"/>
      <c r="C356" s="611"/>
      <c r="D356" s="611"/>
      <c r="E356" s="611"/>
      <c r="F356" s="611"/>
      <c r="G356" s="611"/>
      <c r="H356" s="611"/>
      <c r="I356" s="611"/>
      <c r="J356" s="612"/>
    </row>
    <row r="357" spans="1:10" ht="12.75" customHeight="1" x14ac:dyDescent="0.2">
      <c r="A357" s="610"/>
      <c r="B357" s="611"/>
      <c r="C357" s="611"/>
      <c r="D357" s="611"/>
      <c r="E357" s="611"/>
      <c r="F357" s="611"/>
      <c r="G357" s="611"/>
      <c r="H357" s="611"/>
      <c r="I357" s="611"/>
      <c r="J357" s="612"/>
    </row>
    <row r="358" spans="1:10" ht="12.75" customHeight="1" x14ac:dyDescent="0.2">
      <c r="A358" s="610"/>
      <c r="B358" s="611"/>
      <c r="C358" s="611"/>
      <c r="D358" s="611"/>
      <c r="E358" s="611"/>
      <c r="F358" s="611"/>
      <c r="G358" s="611"/>
      <c r="H358" s="611"/>
      <c r="I358" s="611"/>
      <c r="J358" s="612"/>
    </row>
    <row r="359" spans="1:10" ht="12.75" customHeight="1" x14ac:dyDescent="0.2">
      <c r="A359" s="610"/>
      <c r="B359" s="611"/>
      <c r="C359" s="611"/>
      <c r="D359" s="611"/>
      <c r="E359" s="611"/>
      <c r="F359" s="611"/>
      <c r="G359" s="611"/>
      <c r="H359" s="611"/>
      <c r="I359" s="611"/>
      <c r="J359" s="612"/>
    </row>
    <row r="360" spans="1:10" ht="12.75" customHeight="1" x14ac:dyDescent="0.2">
      <c r="A360" s="610"/>
      <c r="B360" s="611"/>
      <c r="C360" s="611"/>
      <c r="D360" s="611"/>
      <c r="E360" s="611"/>
      <c r="F360" s="611"/>
      <c r="G360" s="611"/>
      <c r="H360" s="611"/>
      <c r="I360" s="611"/>
      <c r="J360" s="612"/>
    </row>
    <row r="361" spans="1:10" ht="12.75" customHeight="1" x14ac:dyDescent="0.2">
      <c r="A361" s="610"/>
      <c r="B361" s="611"/>
      <c r="C361" s="611"/>
      <c r="D361" s="611"/>
      <c r="E361" s="611"/>
      <c r="F361" s="611"/>
      <c r="G361" s="611"/>
      <c r="H361" s="611"/>
      <c r="I361" s="611"/>
      <c r="J361" s="612"/>
    </row>
    <row r="362" spans="1:10" ht="12.75" customHeight="1" x14ac:dyDescent="0.2">
      <c r="A362" s="610"/>
      <c r="B362" s="611"/>
      <c r="C362" s="611"/>
      <c r="D362" s="611"/>
      <c r="E362" s="611"/>
      <c r="F362" s="611"/>
      <c r="G362" s="611"/>
      <c r="H362" s="611"/>
      <c r="I362" s="611"/>
      <c r="J362" s="612"/>
    </row>
    <row r="363" spans="1:10" ht="12.75" customHeight="1" x14ac:dyDescent="0.2">
      <c r="A363" s="610"/>
      <c r="B363" s="611"/>
      <c r="C363" s="611"/>
      <c r="D363" s="611"/>
      <c r="E363" s="611"/>
      <c r="F363" s="611"/>
      <c r="G363" s="611"/>
      <c r="H363" s="611"/>
      <c r="I363" s="611"/>
      <c r="J363" s="612"/>
    </row>
    <row r="364" spans="1:10" ht="12.75" customHeight="1" x14ac:dyDescent="0.2">
      <c r="A364" s="610"/>
      <c r="B364" s="611"/>
      <c r="C364" s="611"/>
      <c r="D364" s="611"/>
      <c r="E364" s="611"/>
      <c r="F364" s="611"/>
      <c r="G364" s="611"/>
      <c r="H364" s="611"/>
      <c r="I364" s="611"/>
      <c r="J364" s="612"/>
    </row>
    <row r="365" spans="1:10" ht="12.75" customHeight="1" x14ac:dyDescent="0.2">
      <c r="A365" s="610"/>
      <c r="B365" s="611"/>
      <c r="C365" s="611"/>
      <c r="D365" s="611"/>
      <c r="E365" s="611"/>
      <c r="F365" s="611"/>
      <c r="G365" s="611"/>
      <c r="H365" s="611"/>
      <c r="I365" s="611"/>
      <c r="J365" s="612"/>
    </row>
    <row r="366" spans="1:10" ht="12.75" customHeight="1" x14ac:dyDescent="0.2">
      <c r="A366" s="610"/>
      <c r="B366" s="611"/>
      <c r="C366" s="611"/>
      <c r="D366" s="611"/>
      <c r="E366" s="611"/>
      <c r="F366" s="611"/>
      <c r="G366" s="611"/>
      <c r="H366" s="611"/>
      <c r="I366" s="611"/>
      <c r="J366" s="612"/>
    </row>
    <row r="367" spans="1:10" ht="12.75" customHeight="1" x14ac:dyDescent="0.2">
      <c r="A367" s="610"/>
      <c r="B367" s="611"/>
      <c r="C367" s="611"/>
      <c r="D367" s="611"/>
      <c r="E367" s="611"/>
      <c r="F367" s="611"/>
      <c r="G367" s="611"/>
      <c r="H367" s="611"/>
      <c r="I367" s="611"/>
      <c r="J367" s="612"/>
    </row>
    <row r="368" spans="1:10" ht="12.75" customHeight="1" x14ac:dyDescent="0.2">
      <c r="A368" s="610"/>
      <c r="B368" s="611"/>
      <c r="C368" s="611"/>
      <c r="D368" s="611"/>
      <c r="E368" s="611"/>
      <c r="F368" s="611"/>
      <c r="G368" s="611"/>
      <c r="H368" s="611"/>
      <c r="I368" s="611"/>
      <c r="J368" s="612"/>
    </row>
    <row r="369" spans="1:10" ht="12.75" customHeight="1" x14ac:dyDescent="0.2">
      <c r="A369" s="610"/>
      <c r="B369" s="611"/>
      <c r="C369" s="611"/>
      <c r="D369" s="611"/>
      <c r="E369" s="611"/>
      <c r="F369" s="611"/>
      <c r="G369" s="611"/>
      <c r="H369" s="611"/>
      <c r="I369" s="611"/>
      <c r="J369" s="612"/>
    </row>
    <row r="370" spans="1:10" ht="12.75" customHeight="1" x14ac:dyDescent="0.2">
      <c r="A370" s="610"/>
      <c r="B370" s="611"/>
      <c r="C370" s="611"/>
      <c r="D370" s="611"/>
      <c r="E370" s="611"/>
      <c r="F370" s="611"/>
      <c r="G370" s="611"/>
      <c r="H370" s="611"/>
      <c r="I370" s="611"/>
      <c r="J370" s="612"/>
    </row>
    <row r="371" spans="1:10" ht="12.75" customHeight="1" x14ac:dyDescent="0.2">
      <c r="A371" s="610"/>
      <c r="B371" s="611"/>
      <c r="C371" s="611"/>
      <c r="D371" s="611"/>
      <c r="E371" s="611"/>
      <c r="F371" s="611"/>
      <c r="G371" s="611"/>
      <c r="H371" s="611"/>
      <c r="I371" s="611"/>
      <c r="J371" s="612"/>
    </row>
    <row r="372" spans="1:10" ht="12.75" customHeight="1" x14ac:dyDescent="0.2">
      <c r="A372" s="610"/>
      <c r="B372" s="611"/>
      <c r="C372" s="611"/>
      <c r="D372" s="611"/>
      <c r="E372" s="611"/>
      <c r="F372" s="611"/>
      <c r="G372" s="611"/>
      <c r="H372" s="611"/>
      <c r="I372" s="611"/>
      <c r="J372" s="612"/>
    </row>
    <row r="373" spans="1:10" ht="12.75" customHeight="1" x14ac:dyDescent="0.2">
      <c r="A373" s="610"/>
      <c r="B373" s="611"/>
      <c r="C373" s="611"/>
      <c r="D373" s="611"/>
      <c r="E373" s="611"/>
      <c r="F373" s="611"/>
      <c r="G373" s="611"/>
      <c r="H373" s="611"/>
      <c r="I373" s="611"/>
      <c r="J373" s="612"/>
    </row>
    <row r="374" spans="1:10" ht="12.75" customHeight="1" x14ac:dyDescent="0.2">
      <c r="A374" s="610"/>
      <c r="B374" s="611"/>
      <c r="C374" s="611"/>
      <c r="D374" s="611"/>
      <c r="E374" s="611"/>
      <c r="F374" s="611"/>
      <c r="G374" s="611"/>
      <c r="H374" s="611"/>
      <c r="I374" s="611"/>
      <c r="J374" s="612"/>
    </row>
    <row r="375" spans="1:10" ht="12.75" customHeight="1" x14ac:dyDescent="0.2">
      <c r="A375" s="610"/>
      <c r="B375" s="611"/>
      <c r="C375" s="611"/>
      <c r="D375" s="611"/>
      <c r="E375" s="611"/>
      <c r="F375" s="611"/>
      <c r="G375" s="611"/>
      <c r="H375" s="611"/>
      <c r="I375" s="611"/>
      <c r="J375" s="612"/>
    </row>
    <row r="376" spans="1:10" ht="12.75" customHeight="1" x14ac:dyDescent="0.2">
      <c r="A376" s="610"/>
      <c r="B376" s="611"/>
      <c r="C376" s="611"/>
      <c r="D376" s="611"/>
      <c r="E376" s="611"/>
      <c r="F376" s="611"/>
      <c r="G376" s="611"/>
      <c r="H376" s="611"/>
      <c r="I376" s="611"/>
      <c r="J376" s="612"/>
    </row>
    <row r="377" spans="1:10" ht="12.75" customHeight="1" x14ac:dyDescent="0.2">
      <c r="A377" s="610"/>
      <c r="B377" s="611"/>
      <c r="C377" s="611"/>
      <c r="D377" s="611"/>
      <c r="E377" s="611"/>
      <c r="F377" s="611"/>
      <c r="G377" s="611"/>
      <c r="H377" s="611"/>
      <c r="I377" s="611"/>
      <c r="J377" s="612"/>
    </row>
    <row r="378" spans="1:10" ht="12.75" customHeight="1" x14ac:dyDescent="0.2">
      <c r="A378" s="610"/>
      <c r="B378" s="611"/>
      <c r="C378" s="611"/>
      <c r="D378" s="611"/>
      <c r="E378" s="611"/>
      <c r="F378" s="611"/>
      <c r="G378" s="611"/>
      <c r="H378" s="611"/>
      <c r="I378" s="611"/>
      <c r="J378" s="612"/>
    </row>
    <row r="379" spans="1:10" s="61" customFormat="1" x14ac:dyDescent="0.2">
      <c r="A379" s="55"/>
      <c r="B379" s="56"/>
      <c r="C379" s="57"/>
      <c r="D379" s="58"/>
      <c r="E379" s="58"/>
      <c r="F379" s="58"/>
      <c r="G379" s="58"/>
      <c r="H379" s="59"/>
      <c r="I379" s="57"/>
      <c r="J379" s="60"/>
    </row>
    <row r="380" spans="1:10" s="61" customFormat="1" ht="25.5" customHeight="1" x14ac:dyDescent="0.2">
      <c r="A380" s="619" t="s">
        <v>195</v>
      </c>
      <c r="B380" s="620"/>
      <c r="C380" s="620"/>
      <c r="D380" s="620"/>
      <c r="E380" s="620"/>
      <c r="F380" s="621"/>
      <c r="G380" s="622"/>
      <c r="H380" s="622"/>
      <c r="I380" s="622"/>
      <c r="J380" s="623"/>
    </row>
    <row r="381" spans="1:10" s="61" customFormat="1" ht="12.75" customHeight="1" x14ac:dyDescent="0.2">
      <c r="A381" s="348" t="s">
        <v>301</v>
      </c>
      <c r="B381" s="349"/>
      <c r="C381" s="349"/>
      <c r="D381" s="349"/>
      <c r="E381" s="349"/>
      <c r="F381" s="614"/>
      <c r="G381" s="614"/>
      <c r="H381" s="614"/>
      <c r="I381" s="614"/>
      <c r="J381" s="615"/>
    </row>
    <row r="382" spans="1:10" ht="12.75" customHeight="1" x14ac:dyDescent="0.2">
      <c r="A382" s="593" t="s">
        <v>368</v>
      </c>
      <c r="B382" s="594"/>
      <c r="C382" s="594"/>
      <c r="D382" s="594"/>
      <c r="E382" s="594"/>
      <c r="F382" s="594"/>
      <c r="G382" s="594"/>
      <c r="H382" s="594"/>
      <c r="I382" s="594"/>
      <c r="J382" s="595"/>
    </row>
    <row r="383" spans="1:10" ht="12.75" customHeight="1" x14ac:dyDescent="0.2">
      <c r="A383" s="596"/>
      <c r="B383" s="597"/>
      <c r="C383" s="597"/>
      <c r="D383" s="597"/>
      <c r="E383" s="597"/>
      <c r="F383" s="597"/>
      <c r="G383" s="597"/>
      <c r="H383" s="597"/>
      <c r="I383" s="597"/>
      <c r="J383" s="598"/>
    </row>
    <row r="384" spans="1:10" ht="12.75" customHeight="1" x14ac:dyDescent="0.2">
      <c r="A384" s="596"/>
      <c r="B384" s="597"/>
      <c r="C384" s="597"/>
      <c r="D384" s="597"/>
      <c r="E384" s="597"/>
      <c r="F384" s="597"/>
      <c r="G384" s="597"/>
      <c r="H384" s="597"/>
      <c r="I384" s="597"/>
      <c r="J384" s="598"/>
    </row>
    <row r="385" spans="1:10" ht="15" customHeight="1" x14ac:dyDescent="0.2">
      <c r="A385" s="599"/>
      <c r="B385" s="600"/>
      <c r="C385" s="600"/>
      <c r="D385" s="600"/>
      <c r="E385" s="600"/>
      <c r="F385" s="600"/>
      <c r="G385" s="600"/>
      <c r="H385" s="600"/>
      <c r="I385" s="600"/>
      <c r="J385" s="601"/>
    </row>
    <row r="386" spans="1:10" ht="12.75" customHeight="1" x14ac:dyDescent="0.2">
      <c r="A386" s="610"/>
      <c r="B386" s="611"/>
      <c r="C386" s="611"/>
      <c r="D386" s="611"/>
      <c r="E386" s="611"/>
      <c r="F386" s="611"/>
      <c r="G386" s="611"/>
      <c r="H386" s="611"/>
      <c r="I386" s="611"/>
      <c r="J386" s="612"/>
    </row>
    <row r="387" spans="1:10" ht="12.75" customHeight="1" x14ac:dyDescent="0.2">
      <c r="A387" s="610"/>
      <c r="B387" s="611"/>
      <c r="C387" s="611"/>
      <c r="D387" s="611"/>
      <c r="E387" s="611"/>
      <c r="F387" s="611"/>
      <c r="G387" s="611"/>
      <c r="H387" s="611"/>
      <c r="I387" s="611"/>
      <c r="J387" s="612"/>
    </row>
    <row r="388" spans="1:10" ht="12.75" customHeight="1" x14ac:dyDescent="0.2">
      <c r="A388" s="610"/>
      <c r="B388" s="611"/>
      <c r="C388" s="611"/>
      <c r="D388" s="611"/>
      <c r="E388" s="611"/>
      <c r="F388" s="611"/>
      <c r="G388" s="611"/>
      <c r="H388" s="611"/>
      <c r="I388" s="611"/>
      <c r="J388" s="612"/>
    </row>
    <row r="389" spans="1:10" ht="12.75" customHeight="1" x14ac:dyDescent="0.2">
      <c r="A389" s="610"/>
      <c r="B389" s="611"/>
      <c r="C389" s="611"/>
      <c r="D389" s="611"/>
      <c r="E389" s="611"/>
      <c r="F389" s="611"/>
      <c r="G389" s="611"/>
      <c r="H389" s="611"/>
      <c r="I389" s="611"/>
      <c r="J389" s="612"/>
    </row>
    <row r="390" spans="1:10" ht="12.75" customHeight="1" x14ac:dyDescent="0.2">
      <c r="A390" s="610"/>
      <c r="B390" s="611"/>
      <c r="C390" s="611"/>
      <c r="D390" s="611"/>
      <c r="E390" s="611"/>
      <c r="F390" s="611"/>
      <c r="G390" s="611"/>
      <c r="H390" s="611"/>
      <c r="I390" s="611"/>
      <c r="J390" s="612"/>
    </row>
    <row r="391" spans="1:10" ht="12.75" customHeight="1" x14ac:dyDescent="0.2">
      <c r="A391" s="610"/>
      <c r="B391" s="611"/>
      <c r="C391" s="611"/>
      <c r="D391" s="611"/>
      <c r="E391" s="611"/>
      <c r="F391" s="611"/>
      <c r="G391" s="611"/>
      <c r="H391" s="611"/>
      <c r="I391" s="611"/>
      <c r="J391" s="612"/>
    </row>
    <row r="392" spans="1:10" ht="12.75" customHeight="1" x14ac:dyDescent="0.2">
      <c r="A392" s="610"/>
      <c r="B392" s="611"/>
      <c r="C392" s="611"/>
      <c r="D392" s="611"/>
      <c r="E392" s="611"/>
      <c r="F392" s="611"/>
      <c r="G392" s="611"/>
      <c r="H392" s="611"/>
      <c r="I392" s="611"/>
      <c r="J392" s="612"/>
    </row>
    <row r="393" spans="1:10" ht="12.75" customHeight="1" x14ac:dyDescent="0.2">
      <c r="A393" s="610"/>
      <c r="B393" s="611"/>
      <c r="C393" s="611"/>
      <c r="D393" s="611"/>
      <c r="E393" s="611"/>
      <c r="F393" s="611"/>
      <c r="G393" s="611"/>
      <c r="H393" s="611"/>
      <c r="I393" s="611"/>
      <c r="J393" s="612"/>
    </row>
    <row r="394" spans="1:10" ht="12.75" customHeight="1" x14ac:dyDescent="0.2">
      <c r="A394" s="610"/>
      <c r="B394" s="611"/>
      <c r="C394" s="611"/>
      <c r="D394" s="611"/>
      <c r="E394" s="611"/>
      <c r="F394" s="611"/>
      <c r="G394" s="611"/>
      <c r="H394" s="611"/>
      <c r="I394" s="611"/>
      <c r="J394" s="612"/>
    </row>
    <row r="395" spans="1:10" ht="12.75" customHeight="1" x14ac:dyDescent="0.2">
      <c r="A395" s="610"/>
      <c r="B395" s="611"/>
      <c r="C395" s="611"/>
      <c r="D395" s="611"/>
      <c r="E395" s="611"/>
      <c r="F395" s="611"/>
      <c r="G395" s="611"/>
      <c r="H395" s="611"/>
      <c r="I395" s="611"/>
      <c r="J395" s="612"/>
    </row>
    <row r="396" spans="1:10" ht="12.75" customHeight="1" x14ac:dyDescent="0.2">
      <c r="A396" s="610"/>
      <c r="B396" s="611"/>
      <c r="C396" s="611"/>
      <c r="D396" s="611"/>
      <c r="E396" s="611"/>
      <c r="F396" s="611"/>
      <c r="G396" s="611"/>
      <c r="H396" s="611"/>
      <c r="I396" s="611"/>
      <c r="J396" s="612"/>
    </row>
    <row r="397" spans="1:10" ht="12.75" customHeight="1" x14ac:dyDescent="0.2">
      <c r="A397" s="610"/>
      <c r="B397" s="611"/>
      <c r="C397" s="611"/>
      <c r="D397" s="611"/>
      <c r="E397" s="611"/>
      <c r="F397" s="611"/>
      <c r="G397" s="611"/>
      <c r="H397" s="611"/>
      <c r="I397" s="611"/>
      <c r="J397" s="612"/>
    </row>
    <row r="398" spans="1:10" ht="12.75" customHeight="1" x14ac:dyDescent="0.2">
      <c r="A398" s="610"/>
      <c r="B398" s="611"/>
      <c r="C398" s="611"/>
      <c r="D398" s="611"/>
      <c r="E398" s="611"/>
      <c r="F398" s="611"/>
      <c r="G398" s="611"/>
      <c r="H398" s="611"/>
      <c r="I398" s="611"/>
      <c r="J398" s="612"/>
    </row>
    <row r="399" spans="1:10" ht="12.75" customHeight="1" x14ac:dyDescent="0.2">
      <c r="A399" s="610"/>
      <c r="B399" s="611"/>
      <c r="C399" s="611"/>
      <c r="D399" s="611"/>
      <c r="E399" s="611"/>
      <c r="F399" s="611"/>
      <c r="G399" s="611"/>
      <c r="H399" s="611"/>
      <c r="I399" s="611"/>
      <c r="J399" s="612"/>
    </row>
    <row r="400" spans="1:10" ht="12.75" customHeight="1" x14ac:dyDescent="0.2">
      <c r="A400" s="610"/>
      <c r="B400" s="611"/>
      <c r="C400" s="611"/>
      <c r="D400" s="611"/>
      <c r="E400" s="611"/>
      <c r="F400" s="611"/>
      <c r="G400" s="611"/>
      <c r="H400" s="611"/>
      <c r="I400" s="611"/>
      <c r="J400" s="612"/>
    </row>
    <row r="401" spans="1:10" ht="12.75" customHeight="1" x14ac:dyDescent="0.2">
      <c r="A401" s="610"/>
      <c r="B401" s="611"/>
      <c r="C401" s="611"/>
      <c r="D401" s="611"/>
      <c r="E401" s="611"/>
      <c r="F401" s="611"/>
      <c r="G401" s="611"/>
      <c r="H401" s="611"/>
      <c r="I401" s="611"/>
      <c r="J401" s="612"/>
    </row>
    <row r="402" spans="1:10" ht="12.75" customHeight="1" x14ac:dyDescent="0.2">
      <c r="A402" s="610"/>
      <c r="B402" s="611"/>
      <c r="C402" s="611"/>
      <c r="D402" s="611"/>
      <c r="E402" s="611"/>
      <c r="F402" s="611"/>
      <c r="G402" s="611"/>
      <c r="H402" s="611"/>
      <c r="I402" s="611"/>
      <c r="J402" s="612"/>
    </row>
    <row r="403" spans="1:10" ht="12.75" customHeight="1" x14ac:dyDescent="0.2">
      <c r="A403" s="610"/>
      <c r="B403" s="611"/>
      <c r="C403" s="611"/>
      <c r="D403" s="611"/>
      <c r="E403" s="611"/>
      <c r="F403" s="611"/>
      <c r="G403" s="611"/>
      <c r="H403" s="611"/>
      <c r="I403" s="611"/>
      <c r="J403" s="612"/>
    </row>
    <row r="404" spans="1:10" ht="12.75" customHeight="1" x14ac:dyDescent="0.2">
      <c r="A404" s="610"/>
      <c r="B404" s="611"/>
      <c r="C404" s="611"/>
      <c r="D404" s="611"/>
      <c r="E404" s="611"/>
      <c r="F404" s="611"/>
      <c r="G404" s="611"/>
      <c r="H404" s="611"/>
      <c r="I404" s="611"/>
      <c r="J404" s="612"/>
    </row>
    <row r="405" spans="1:10" ht="12.75" customHeight="1" x14ac:dyDescent="0.2">
      <c r="A405" s="610"/>
      <c r="B405" s="611"/>
      <c r="C405" s="611"/>
      <c r="D405" s="611"/>
      <c r="E405" s="611"/>
      <c r="F405" s="611"/>
      <c r="G405" s="611"/>
      <c r="H405" s="611"/>
      <c r="I405" s="611"/>
      <c r="J405" s="612"/>
    </row>
    <row r="406" spans="1:10" ht="12.75" customHeight="1" x14ac:dyDescent="0.2">
      <c r="A406" s="610"/>
      <c r="B406" s="611"/>
      <c r="C406" s="611"/>
      <c r="D406" s="611"/>
      <c r="E406" s="611"/>
      <c r="F406" s="611"/>
      <c r="G406" s="611"/>
      <c r="H406" s="611"/>
      <c r="I406" s="611"/>
      <c r="J406" s="612"/>
    </row>
    <row r="407" spans="1:10" ht="12.75" customHeight="1" x14ac:dyDescent="0.2">
      <c r="A407" s="610"/>
      <c r="B407" s="611"/>
      <c r="C407" s="611"/>
      <c r="D407" s="611"/>
      <c r="E407" s="611"/>
      <c r="F407" s="611"/>
      <c r="G407" s="611"/>
      <c r="H407" s="611"/>
      <c r="I407" s="611"/>
      <c r="J407" s="612"/>
    </row>
    <row r="408" spans="1:10" ht="12.75" customHeight="1" x14ac:dyDescent="0.2">
      <c r="A408" s="610"/>
      <c r="B408" s="611"/>
      <c r="C408" s="611"/>
      <c r="D408" s="611"/>
      <c r="E408" s="611"/>
      <c r="F408" s="611"/>
      <c r="G408" s="611"/>
      <c r="H408" s="611"/>
      <c r="I408" s="611"/>
      <c r="J408" s="612"/>
    </row>
    <row r="409" spans="1:10" ht="12.75" customHeight="1" x14ac:dyDescent="0.2">
      <c r="A409" s="610"/>
      <c r="B409" s="611"/>
      <c r="C409" s="611"/>
      <c r="D409" s="611"/>
      <c r="E409" s="611"/>
      <c r="F409" s="611"/>
      <c r="G409" s="611"/>
      <c r="H409" s="611"/>
      <c r="I409" s="611"/>
      <c r="J409" s="612"/>
    </row>
    <row r="410" spans="1:10" ht="12.75" customHeight="1" x14ac:dyDescent="0.2">
      <c r="A410" s="610"/>
      <c r="B410" s="611"/>
      <c r="C410" s="611"/>
      <c r="D410" s="611"/>
      <c r="E410" s="611"/>
      <c r="F410" s="611"/>
      <c r="G410" s="611"/>
      <c r="H410" s="611"/>
      <c r="I410" s="611"/>
      <c r="J410" s="612"/>
    </row>
    <row r="411" spans="1:10" ht="12.75" customHeight="1" x14ac:dyDescent="0.2">
      <c r="A411" s="610"/>
      <c r="B411" s="611"/>
      <c r="C411" s="611"/>
      <c r="D411" s="611"/>
      <c r="E411" s="611"/>
      <c r="F411" s="611"/>
      <c r="G411" s="611"/>
      <c r="H411" s="611"/>
      <c r="I411" s="611"/>
      <c r="J411" s="612"/>
    </row>
    <row r="412" spans="1:10" ht="12.75" customHeight="1" x14ac:dyDescent="0.2">
      <c r="A412" s="610"/>
      <c r="B412" s="611"/>
      <c r="C412" s="611"/>
      <c r="D412" s="611"/>
      <c r="E412" s="611"/>
      <c r="F412" s="611"/>
      <c r="G412" s="611"/>
      <c r="H412" s="611"/>
      <c r="I412" s="611"/>
      <c r="J412" s="612"/>
    </row>
    <row r="413" spans="1:10" ht="12.75" customHeight="1" x14ac:dyDescent="0.2">
      <c r="A413" s="610"/>
      <c r="B413" s="611"/>
      <c r="C413" s="611"/>
      <c r="D413" s="611"/>
      <c r="E413" s="611"/>
      <c r="F413" s="611"/>
      <c r="G413" s="611"/>
      <c r="H413" s="611"/>
      <c r="I413" s="611"/>
      <c r="J413" s="612"/>
    </row>
    <row r="414" spans="1:10" ht="12.75" customHeight="1" x14ac:dyDescent="0.2">
      <c r="A414" s="610"/>
      <c r="B414" s="611"/>
      <c r="C414" s="611"/>
      <c r="D414" s="611"/>
      <c r="E414" s="611"/>
      <c r="F414" s="611"/>
      <c r="G414" s="611"/>
      <c r="H414" s="611"/>
      <c r="I414" s="611"/>
      <c r="J414" s="612"/>
    </row>
    <row r="415" spans="1:10" ht="12.75" customHeight="1" x14ac:dyDescent="0.2">
      <c r="A415" s="610"/>
      <c r="B415" s="611"/>
      <c r="C415" s="611"/>
      <c r="D415" s="611"/>
      <c r="E415" s="611"/>
      <c r="F415" s="611"/>
      <c r="G415" s="611"/>
      <c r="H415" s="611"/>
      <c r="I415" s="611"/>
      <c r="J415" s="612"/>
    </row>
    <row r="416" spans="1:10" ht="12.75" customHeight="1" x14ac:dyDescent="0.2">
      <c r="A416" s="610"/>
      <c r="B416" s="611"/>
      <c r="C416" s="611"/>
      <c r="D416" s="611"/>
      <c r="E416" s="611"/>
      <c r="F416" s="611"/>
      <c r="G416" s="611"/>
      <c r="H416" s="611"/>
      <c r="I416" s="611"/>
      <c r="J416" s="612"/>
    </row>
    <row r="417" spans="1:10" ht="12.75" customHeight="1" x14ac:dyDescent="0.2">
      <c r="A417" s="610"/>
      <c r="B417" s="611"/>
      <c r="C417" s="611"/>
      <c r="D417" s="611"/>
      <c r="E417" s="611"/>
      <c r="F417" s="611"/>
      <c r="G417" s="611"/>
      <c r="H417" s="611"/>
      <c r="I417" s="611"/>
      <c r="J417" s="612"/>
    </row>
    <row r="418" spans="1:10" ht="12.75" customHeight="1" x14ac:dyDescent="0.2">
      <c r="A418" s="610"/>
      <c r="B418" s="611"/>
      <c r="C418" s="611"/>
      <c r="D418" s="611"/>
      <c r="E418" s="611"/>
      <c r="F418" s="611"/>
      <c r="G418" s="611"/>
      <c r="H418" s="611"/>
      <c r="I418" s="611"/>
      <c r="J418" s="612"/>
    </row>
    <row r="419" spans="1:10" ht="12.75" customHeight="1" x14ac:dyDescent="0.2">
      <c r="A419" s="610"/>
      <c r="B419" s="611"/>
      <c r="C419" s="611"/>
      <c r="D419" s="611"/>
      <c r="E419" s="611"/>
      <c r="F419" s="611"/>
      <c r="G419" s="611"/>
      <c r="H419" s="611"/>
      <c r="I419" s="611"/>
      <c r="J419" s="612"/>
    </row>
    <row r="420" spans="1:10" ht="12.75" customHeight="1" thickBot="1" x14ac:dyDescent="0.25">
      <c r="A420" s="616"/>
      <c r="B420" s="617"/>
      <c r="C420" s="617"/>
      <c r="D420" s="617"/>
      <c r="E420" s="617"/>
      <c r="F420" s="617"/>
      <c r="G420" s="617"/>
      <c r="H420" s="617"/>
      <c r="I420" s="617"/>
      <c r="J420" s="618"/>
    </row>
    <row r="421" spans="1:10" ht="12.75" customHeight="1" thickTop="1" x14ac:dyDescent="0.2"/>
  </sheetData>
  <sheetProtection password="E686" sheet="1" formatRows="0"/>
  <mergeCells count="65">
    <mergeCell ref="A386:J420"/>
    <mergeCell ref="A6:J11"/>
    <mergeCell ref="A12:J16"/>
    <mergeCell ref="A344:J378"/>
    <mergeCell ref="A380:E380"/>
    <mergeCell ref="F380:J380"/>
    <mergeCell ref="A381:E381"/>
    <mergeCell ref="F381:J381"/>
    <mergeCell ref="A382:J385"/>
    <mergeCell ref="A302:J336"/>
    <mergeCell ref="A338:E338"/>
    <mergeCell ref="F338:J338"/>
    <mergeCell ref="A339:E339"/>
    <mergeCell ref="F339:J339"/>
    <mergeCell ref="A340:J343"/>
    <mergeCell ref="A213:E213"/>
    <mergeCell ref="F213:J213"/>
    <mergeCell ref="A214:J217"/>
    <mergeCell ref="A298:J301"/>
    <mergeCell ref="A218:J252"/>
    <mergeCell ref="A254:E254"/>
    <mergeCell ref="F254:J254"/>
    <mergeCell ref="A255:E255"/>
    <mergeCell ref="F255:J255"/>
    <mergeCell ref="A256:J259"/>
    <mergeCell ref="A260:J294"/>
    <mergeCell ref="A296:E296"/>
    <mergeCell ref="F296:J296"/>
    <mergeCell ref="A297:E297"/>
    <mergeCell ref="F297:J297"/>
    <mergeCell ref="A171:E171"/>
    <mergeCell ref="F171:J171"/>
    <mergeCell ref="A172:J175"/>
    <mergeCell ref="A176:J210"/>
    <mergeCell ref="A212:E212"/>
    <mergeCell ref="F212:J212"/>
    <mergeCell ref="A129:E129"/>
    <mergeCell ref="F129:J129"/>
    <mergeCell ref="A130:J133"/>
    <mergeCell ref="A134:J168"/>
    <mergeCell ref="A170:E170"/>
    <mergeCell ref="F170:J170"/>
    <mergeCell ref="A87:E87"/>
    <mergeCell ref="F87:J87"/>
    <mergeCell ref="A88:J91"/>
    <mergeCell ref="A92:J126"/>
    <mergeCell ref="A128:E128"/>
    <mergeCell ref="F128:J128"/>
    <mergeCell ref="A45:E45"/>
    <mergeCell ref="F45:J45"/>
    <mergeCell ref="A46:J49"/>
    <mergeCell ref="A50:J84"/>
    <mergeCell ref="A86:E86"/>
    <mergeCell ref="F86:J86"/>
    <mergeCell ref="A1:J2"/>
    <mergeCell ref="A3:J5"/>
    <mergeCell ref="A18:J18"/>
    <mergeCell ref="A27:J42"/>
    <mergeCell ref="A44:E44"/>
    <mergeCell ref="F44:J44"/>
    <mergeCell ref="A21:E21"/>
    <mergeCell ref="F21:J21"/>
    <mergeCell ref="A22:E22"/>
    <mergeCell ref="F22:J22"/>
    <mergeCell ref="A23:J26"/>
  </mergeCells>
  <dataValidations disablePrompts="1" count="3">
    <dataValidation type="list" allowBlank="1" showInputMessage="1" showErrorMessage="1" sqref="E50:E84 E386:E420 E344:E378 E302:E336 E260:E294 E218:E252 E176:E210 E134:E168 E92:E126 E27:E42">
      <formula1>program</formula1>
    </dataValidation>
    <dataValidation allowBlank="1" showInputMessage="1" showErrorMessage="1" promptTitle="Total Amount" prompt="Input the total amount of these funds being used to fund this individual's salary and benefits." sqref="F50:F84 F386:F420 F344:F378 F302:F336 F260:F294 F218:F252 F176:F210 F134:F168 F92:F126 F27:F42"/>
    <dataValidation type="textLength" operator="lessThan" allowBlank="1" showInputMessage="1" showErrorMessage="1" errorTitle="Too Much Text" error="Provide a brief description using no more than 100 characters here.  A more full description should be included within the narrative (tab 9)." sqref="G50:J84 G386:J420 G344:J378 G302:J336 G260:J294 G218:J252 G176:J210 G134:J168 G92:J126 G27:J42">
      <formula1>101</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46"/>
  <sheetViews>
    <sheetView zoomScaleNormal="100" workbookViewId="0">
      <selection activeCell="A221" sqref="A221:D221"/>
    </sheetView>
  </sheetViews>
  <sheetFormatPr defaultColWidth="9.140625" defaultRowHeight="12.75" x14ac:dyDescent="0.2"/>
  <cols>
    <col min="1" max="10" width="15.7109375" style="1" customWidth="1"/>
    <col min="11" max="11" width="20.5703125" style="1" customWidth="1"/>
    <col min="12" max="13" width="9.140625" style="1" hidden="1" customWidth="1"/>
    <col min="14" max="14" width="32" style="1" hidden="1" customWidth="1"/>
    <col min="15" max="16384" width="9.140625" style="1"/>
  </cols>
  <sheetData>
    <row r="1" spans="1:14" x14ac:dyDescent="0.2">
      <c r="A1" s="736" t="s">
        <v>190</v>
      </c>
      <c r="B1" s="737"/>
      <c r="C1" s="737"/>
      <c r="D1" s="737"/>
      <c r="E1" s="737"/>
      <c r="F1" s="737"/>
      <c r="G1" s="737"/>
      <c r="H1" s="737"/>
      <c r="I1" s="737"/>
      <c r="J1" s="737"/>
      <c r="K1" s="738"/>
    </row>
    <row r="2" spans="1:14" x14ac:dyDescent="0.2">
      <c r="A2" s="739"/>
      <c r="B2" s="372"/>
      <c r="C2" s="372"/>
      <c r="D2" s="372"/>
      <c r="E2" s="372"/>
      <c r="F2" s="372"/>
      <c r="G2" s="372"/>
      <c r="H2" s="372"/>
      <c r="I2" s="372"/>
      <c r="J2" s="372"/>
      <c r="K2" s="740"/>
    </row>
    <row r="3" spans="1:14" ht="12.75" customHeight="1" x14ac:dyDescent="0.2">
      <c r="A3" s="741" t="s">
        <v>504</v>
      </c>
      <c r="B3" s="544"/>
      <c r="C3" s="544"/>
      <c r="D3" s="544"/>
      <c r="E3" s="544"/>
      <c r="F3" s="544"/>
      <c r="G3" s="544"/>
      <c r="H3" s="544"/>
      <c r="I3" s="544"/>
      <c r="J3" s="544"/>
      <c r="K3" s="742"/>
    </row>
    <row r="4" spans="1:14" ht="12.75" customHeight="1" x14ac:dyDescent="0.2">
      <c r="A4" s="743"/>
      <c r="B4" s="574"/>
      <c r="C4" s="574"/>
      <c r="D4" s="574"/>
      <c r="E4" s="574"/>
      <c r="F4" s="574"/>
      <c r="G4" s="574"/>
      <c r="H4" s="574"/>
      <c r="I4" s="574"/>
      <c r="J4" s="574"/>
      <c r="K4" s="744"/>
    </row>
    <row r="5" spans="1:14" ht="12.75" customHeight="1" x14ac:dyDescent="0.2">
      <c r="A5" s="743"/>
      <c r="B5" s="574"/>
      <c r="C5" s="574"/>
      <c r="D5" s="574"/>
      <c r="E5" s="574"/>
      <c r="F5" s="574"/>
      <c r="G5" s="574"/>
      <c r="H5" s="574"/>
      <c r="I5" s="574"/>
      <c r="J5" s="574"/>
      <c r="K5" s="744"/>
    </row>
    <row r="6" spans="1:14" x14ac:dyDescent="0.2">
      <c r="A6" s="745"/>
      <c r="B6" s="547"/>
      <c r="C6" s="547"/>
      <c r="D6" s="547"/>
      <c r="E6" s="547"/>
      <c r="F6" s="547"/>
      <c r="G6" s="547"/>
      <c r="H6" s="547"/>
      <c r="I6" s="547"/>
      <c r="J6" s="547"/>
      <c r="K6" s="746"/>
    </row>
    <row r="7" spans="1:14" ht="18" customHeight="1" x14ac:dyDescent="0.2">
      <c r="A7" s="676" t="s">
        <v>40</v>
      </c>
      <c r="B7" s="676"/>
      <c r="C7" s="676"/>
      <c r="D7" s="676"/>
      <c r="E7" s="676"/>
      <c r="F7" s="676"/>
      <c r="G7" s="676"/>
      <c r="H7" s="676"/>
      <c r="I7" s="676"/>
      <c r="J7" s="676"/>
      <c r="K7" s="676"/>
    </row>
    <row r="8" spans="1:14" ht="18" customHeight="1" x14ac:dyDescent="0.2">
      <c r="A8" s="676"/>
      <c r="B8" s="676"/>
      <c r="C8" s="676"/>
      <c r="D8" s="676"/>
      <c r="E8" s="676"/>
      <c r="F8" s="676"/>
      <c r="G8" s="676"/>
      <c r="H8" s="676"/>
      <c r="I8" s="676"/>
      <c r="J8" s="676"/>
      <c r="K8" s="676"/>
    </row>
    <row r="9" spans="1:14" ht="15" customHeight="1" x14ac:dyDescent="0.2">
      <c r="A9" s="666" t="s">
        <v>41</v>
      </c>
      <c r="B9" s="655"/>
      <c r="C9" s="662" t="s">
        <v>42</v>
      </c>
      <c r="D9" s="662" t="s">
        <v>43</v>
      </c>
      <c r="E9" s="662" t="s">
        <v>117</v>
      </c>
      <c r="F9" s="678" t="s">
        <v>102</v>
      </c>
      <c r="G9" s="665" t="s">
        <v>103</v>
      </c>
      <c r="H9" s="666" t="s">
        <v>48</v>
      </c>
      <c r="I9" s="654"/>
      <c r="J9" s="654"/>
      <c r="K9" s="655"/>
    </row>
    <row r="10" spans="1:14" ht="15" customHeight="1" x14ac:dyDescent="0.2">
      <c r="A10" s="668"/>
      <c r="B10" s="658"/>
      <c r="C10" s="663"/>
      <c r="D10" s="663"/>
      <c r="E10" s="663"/>
      <c r="F10" s="679"/>
      <c r="G10" s="665"/>
      <c r="H10" s="668"/>
      <c r="I10" s="657"/>
      <c r="J10" s="657"/>
      <c r="K10" s="658"/>
    </row>
    <row r="11" spans="1:14" ht="15" customHeight="1" x14ac:dyDescent="0.2">
      <c r="A11" s="668"/>
      <c r="B11" s="658"/>
      <c r="C11" s="663"/>
      <c r="D11" s="663"/>
      <c r="E11" s="663"/>
      <c r="F11" s="679"/>
      <c r="G11" s="665"/>
      <c r="H11" s="668"/>
      <c r="I11" s="657"/>
      <c r="J11" s="657"/>
      <c r="K11" s="658"/>
    </row>
    <row r="12" spans="1:14" ht="15" customHeight="1" x14ac:dyDescent="0.2">
      <c r="A12" s="668"/>
      <c r="B12" s="658"/>
      <c r="C12" s="663"/>
      <c r="D12" s="663"/>
      <c r="E12" s="663"/>
      <c r="F12" s="679"/>
      <c r="G12" s="665"/>
      <c r="H12" s="668"/>
      <c r="I12" s="657"/>
      <c r="J12" s="657"/>
      <c r="K12" s="658"/>
    </row>
    <row r="13" spans="1:14" ht="15" customHeight="1" x14ac:dyDescent="0.2">
      <c r="A13" s="668"/>
      <c r="B13" s="658"/>
      <c r="C13" s="663"/>
      <c r="D13" s="663"/>
      <c r="E13" s="663"/>
      <c r="F13" s="679"/>
      <c r="G13" s="665"/>
      <c r="H13" s="668"/>
      <c r="I13" s="657"/>
      <c r="J13" s="657"/>
      <c r="K13" s="658"/>
    </row>
    <row r="14" spans="1:14" ht="15" customHeight="1" x14ac:dyDescent="0.2">
      <c r="A14" s="668"/>
      <c r="B14" s="658"/>
      <c r="C14" s="663"/>
      <c r="D14" s="663"/>
      <c r="E14" s="663"/>
      <c r="F14" s="679"/>
      <c r="G14" s="665"/>
      <c r="H14" s="668"/>
      <c r="I14" s="657"/>
      <c r="J14" s="657"/>
      <c r="K14" s="658"/>
    </row>
    <row r="15" spans="1:14" ht="15" customHeight="1" x14ac:dyDescent="0.2">
      <c r="A15" s="633"/>
      <c r="B15" s="637"/>
      <c r="C15" s="27"/>
      <c r="D15" s="27"/>
      <c r="E15" s="27"/>
      <c r="F15" s="28"/>
      <c r="G15" s="29"/>
      <c r="H15" s="633"/>
      <c r="I15" s="634"/>
      <c r="J15" s="634"/>
      <c r="K15" s="637"/>
      <c r="L15" s="1">
        <f>COUNTBLANK(C15:K15)</f>
        <v>9</v>
      </c>
      <c r="M15" s="1" t="str">
        <f t="shared" ref="M15:M21" si="0">IF(AND(A15&lt;&gt;"",L15&gt;3),"No","Yes")</f>
        <v>Yes</v>
      </c>
      <c r="N15" s="1" t="str">
        <f>CONCATENATE(D15,E15)</f>
        <v/>
      </c>
    </row>
    <row r="16" spans="1:14" ht="15" customHeight="1" x14ac:dyDescent="0.2">
      <c r="A16" s="633"/>
      <c r="B16" s="637"/>
      <c r="C16" s="27"/>
      <c r="D16" s="27"/>
      <c r="E16" s="27"/>
      <c r="F16" s="28"/>
      <c r="G16" s="29"/>
      <c r="H16" s="633"/>
      <c r="I16" s="634"/>
      <c r="J16" s="634"/>
      <c r="K16" s="637"/>
      <c r="L16" s="1">
        <f t="shared" ref="L16:L37" si="1">COUNTBLANK(C16:K16)</f>
        <v>9</v>
      </c>
      <c r="M16" s="1" t="str">
        <f t="shared" si="0"/>
        <v>Yes</v>
      </c>
      <c r="N16" s="1" t="str">
        <f t="shared" ref="N16:N37" si="2">CONCATENATE(D16,E16)</f>
        <v/>
      </c>
    </row>
    <row r="17" spans="1:14" ht="15" customHeight="1" x14ac:dyDescent="0.2">
      <c r="A17" s="633"/>
      <c r="B17" s="637"/>
      <c r="C17" s="27"/>
      <c r="D17" s="27"/>
      <c r="E17" s="27"/>
      <c r="F17" s="28"/>
      <c r="G17" s="29"/>
      <c r="H17" s="633"/>
      <c r="I17" s="634"/>
      <c r="J17" s="634"/>
      <c r="K17" s="637"/>
      <c r="L17" s="1">
        <f t="shared" si="1"/>
        <v>9</v>
      </c>
      <c r="M17" s="1" t="str">
        <f t="shared" si="0"/>
        <v>Yes</v>
      </c>
      <c r="N17" s="1" t="str">
        <f t="shared" si="2"/>
        <v/>
      </c>
    </row>
    <row r="18" spans="1:14" ht="15" customHeight="1" x14ac:dyDescent="0.2">
      <c r="A18" s="633"/>
      <c r="B18" s="637"/>
      <c r="C18" s="27"/>
      <c r="D18" s="27"/>
      <c r="E18" s="27"/>
      <c r="F18" s="28"/>
      <c r="G18" s="29"/>
      <c r="H18" s="633"/>
      <c r="I18" s="634"/>
      <c r="J18" s="634"/>
      <c r="K18" s="637"/>
      <c r="L18" s="1">
        <f t="shared" si="1"/>
        <v>9</v>
      </c>
      <c r="M18" s="1" t="str">
        <f t="shared" si="0"/>
        <v>Yes</v>
      </c>
      <c r="N18" s="1" t="str">
        <f t="shared" si="2"/>
        <v/>
      </c>
    </row>
    <row r="19" spans="1:14" ht="15" customHeight="1" x14ac:dyDescent="0.2">
      <c r="A19" s="633"/>
      <c r="B19" s="637"/>
      <c r="C19" s="27"/>
      <c r="D19" s="27"/>
      <c r="E19" s="27"/>
      <c r="F19" s="28"/>
      <c r="G19" s="29"/>
      <c r="H19" s="633"/>
      <c r="I19" s="634"/>
      <c r="J19" s="634"/>
      <c r="K19" s="637"/>
      <c r="L19" s="1">
        <f t="shared" si="1"/>
        <v>9</v>
      </c>
      <c r="M19" s="1" t="str">
        <f t="shared" si="0"/>
        <v>Yes</v>
      </c>
      <c r="N19" s="1" t="str">
        <f t="shared" si="2"/>
        <v/>
      </c>
    </row>
    <row r="20" spans="1:14" ht="15" customHeight="1" x14ac:dyDescent="0.2">
      <c r="A20" s="633"/>
      <c r="B20" s="637"/>
      <c r="C20" s="27"/>
      <c r="D20" s="27"/>
      <c r="E20" s="27"/>
      <c r="F20" s="28"/>
      <c r="G20" s="29"/>
      <c r="H20" s="633"/>
      <c r="I20" s="634"/>
      <c r="J20" s="634"/>
      <c r="K20" s="637"/>
      <c r="L20" s="1">
        <f t="shared" si="1"/>
        <v>9</v>
      </c>
      <c r="M20" s="1" t="str">
        <f t="shared" si="0"/>
        <v>Yes</v>
      </c>
      <c r="N20" s="1" t="str">
        <f t="shared" si="2"/>
        <v/>
      </c>
    </row>
    <row r="21" spans="1:14" ht="15" customHeight="1" x14ac:dyDescent="0.2">
      <c r="A21" s="633"/>
      <c r="B21" s="637"/>
      <c r="C21" s="27"/>
      <c r="D21" s="27"/>
      <c r="E21" s="27"/>
      <c r="F21" s="28"/>
      <c r="G21" s="29"/>
      <c r="H21" s="633"/>
      <c r="I21" s="634"/>
      <c r="J21" s="634"/>
      <c r="K21" s="637"/>
      <c r="L21" s="1">
        <f t="shared" si="1"/>
        <v>9</v>
      </c>
      <c r="M21" s="1" t="str">
        <f t="shared" si="0"/>
        <v>Yes</v>
      </c>
      <c r="N21" s="1" t="str">
        <f t="shared" si="2"/>
        <v/>
      </c>
    </row>
    <row r="22" spans="1:14" ht="15" customHeight="1" x14ac:dyDescent="0.2">
      <c r="A22" s="633"/>
      <c r="B22" s="637"/>
      <c r="C22" s="27"/>
      <c r="D22" s="27"/>
      <c r="E22" s="27"/>
      <c r="F22" s="28"/>
      <c r="G22" s="29"/>
      <c r="H22" s="633"/>
      <c r="I22" s="634"/>
      <c r="J22" s="634"/>
      <c r="K22" s="637"/>
      <c r="L22" s="1">
        <f t="shared" si="1"/>
        <v>9</v>
      </c>
      <c r="M22" s="1" t="str">
        <f t="shared" ref="M22:M37" si="3">IF(AND(A22&lt;&gt;"",L22&gt;3),"No","Yes")</f>
        <v>Yes</v>
      </c>
      <c r="N22" s="1" t="str">
        <f t="shared" si="2"/>
        <v/>
      </c>
    </row>
    <row r="23" spans="1:14" ht="15" customHeight="1" x14ac:dyDescent="0.2">
      <c r="A23" s="633"/>
      <c r="B23" s="637"/>
      <c r="C23" s="27"/>
      <c r="D23" s="27"/>
      <c r="E23" s="27"/>
      <c r="F23" s="28"/>
      <c r="G23" s="29"/>
      <c r="H23" s="633"/>
      <c r="I23" s="634"/>
      <c r="J23" s="634"/>
      <c r="K23" s="637"/>
      <c r="L23" s="1">
        <f t="shared" si="1"/>
        <v>9</v>
      </c>
      <c r="M23" s="1" t="str">
        <f t="shared" si="3"/>
        <v>Yes</v>
      </c>
      <c r="N23" s="1" t="str">
        <f t="shared" si="2"/>
        <v/>
      </c>
    </row>
    <row r="24" spans="1:14" ht="15" customHeight="1" x14ac:dyDescent="0.2">
      <c r="A24" s="633"/>
      <c r="B24" s="637"/>
      <c r="C24" s="27"/>
      <c r="D24" s="27"/>
      <c r="E24" s="27"/>
      <c r="F24" s="28"/>
      <c r="G24" s="29"/>
      <c r="H24" s="633"/>
      <c r="I24" s="634"/>
      <c r="J24" s="634"/>
      <c r="K24" s="637"/>
      <c r="L24" s="1">
        <f t="shared" si="1"/>
        <v>9</v>
      </c>
      <c r="M24" s="1" t="str">
        <f t="shared" si="3"/>
        <v>Yes</v>
      </c>
      <c r="N24" s="1" t="str">
        <f t="shared" si="2"/>
        <v/>
      </c>
    </row>
    <row r="25" spans="1:14" ht="15" customHeight="1" x14ac:dyDescent="0.2">
      <c r="A25" s="633"/>
      <c r="B25" s="637"/>
      <c r="C25" s="27"/>
      <c r="D25" s="27"/>
      <c r="E25" s="27"/>
      <c r="F25" s="28"/>
      <c r="G25" s="29"/>
      <c r="H25" s="633"/>
      <c r="I25" s="634"/>
      <c r="J25" s="634"/>
      <c r="K25" s="637"/>
      <c r="L25" s="1">
        <f t="shared" si="1"/>
        <v>9</v>
      </c>
      <c r="M25" s="1" t="str">
        <f t="shared" si="3"/>
        <v>Yes</v>
      </c>
      <c r="N25" s="1" t="str">
        <f t="shared" si="2"/>
        <v/>
      </c>
    </row>
    <row r="26" spans="1:14" ht="15" customHeight="1" x14ac:dyDescent="0.2">
      <c r="A26" s="633"/>
      <c r="B26" s="637"/>
      <c r="C26" s="27"/>
      <c r="D26" s="27"/>
      <c r="E26" s="27"/>
      <c r="F26" s="28"/>
      <c r="G26" s="29"/>
      <c r="H26" s="633"/>
      <c r="I26" s="634"/>
      <c r="J26" s="634"/>
      <c r="K26" s="637"/>
      <c r="L26" s="1">
        <f t="shared" si="1"/>
        <v>9</v>
      </c>
      <c r="M26" s="1" t="str">
        <f t="shared" si="3"/>
        <v>Yes</v>
      </c>
      <c r="N26" s="1" t="str">
        <f t="shared" si="2"/>
        <v/>
      </c>
    </row>
    <row r="27" spans="1:14" ht="15" customHeight="1" x14ac:dyDescent="0.2">
      <c r="A27" s="633"/>
      <c r="B27" s="637"/>
      <c r="C27" s="27"/>
      <c r="D27" s="27"/>
      <c r="E27" s="27"/>
      <c r="F27" s="28"/>
      <c r="G27" s="29"/>
      <c r="H27" s="633"/>
      <c r="I27" s="634"/>
      <c r="J27" s="634"/>
      <c r="K27" s="637"/>
      <c r="L27" s="1">
        <f t="shared" si="1"/>
        <v>9</v>
      </c>
      <c r="M27" s="1" t="str">
        <f t="shared" si="3"/>
        <v>Yes</v>
      </c>
      <c r="N27" s="1" t="str">
        <f t="shared" si="2"/>
        <v/>
      </c>
    </row>
    <row r="28" spans="1:14" ht="15" customHeight="1" x14ac:dyDescent="0.2">
      <c r="A28" s="633"/>
      <c r="B28" s="637"/>
      <c r="C28" s="27"/>
      <c r="D28" s="27"/>
      <c r="E28" s="27"/>
      <c r="F28" s="28"/>
      <c r="G28" s="29"/>
      <c r="H28" s="633"/>
      <c r="I28" s="634"/>
      <c r="J28" s="634"/>
      <c r="K28" s="637"/>
      <c r="L28" s="1">
        <f t="shared" si="1"/>
        <v>9</v>
      </c>
      <c r="M28" s="1" t="str">
        <f t="shared" si="3"/>
        <v>Yes</v>
      </c>
      <c r="N28" s="1" t="str">
        <f t="shared" si="2"/>
        <v/>
      </c>
    </row>
    <row r="29" spans="1:14" ht="15" customHeight="1" x14ac:dyDescent="0.2">
      <c r="A29" s="633"/>
      <c r="B29" s="637"/>
      <c r="C29" s="27"/>
      <c r="D29" s="27"/>
      <c r="E29" s="27"/>
      <c r="F29" s="28"/>
      <c r="G29" s="29"/>
      <c r="H29" s="633"/>
      <c r="I29" s="634"/>
      <c r="J29" s="634"/>
      <c r="K29" s="637"/>
      <c r="L29" s="1">
        <f t="shared" si="1"/>
        <v>9</v>
      </c>
      <c r="M29" s="1" t="str">
        <f t="shared" si="3"/>
        <v>Yes</v>
      </c>
      <c r="N29" s="1" t="str">
        <f t="shared" si="2"/>
        <v/>
      </c>
    </row>
    <row r="30" spans="1:14" ht="15" customHeight="1" x14ac:dyDescent="0.2">
      <c r="A30" s="633"/>
      <c r="B30" s="637"/>
      <c r="C30" s="27"/>
      <c r="D30" s="27"/>
      <c r="E30" s="27"/>
      <c r="F30" s="28"/>
      <c r="G30" s="29"/>
      <c r="H30" s="633"/>
      <c r="I30" s="634"/>
      <c r="J30" s="634"/>
      <c r="K30" s="637"/>
      <c r="L30" s="1">
        <f t="shared" si="1"/>
        <v>9</v>
      </c>
      <c r="M30" s="1" t="str">
        <f t="shared" si="3"/>
        <v>Yes</v>
      </c>
      <c r="N30" s="1" t="str">
        <f t="shared" si="2"/>
        <v/>
      </c>
    </row>
    <row r="31" spans="1:14" ht="15" customHeight="1" x14ac:dyDescent="0.2">
      <c r="A31" s="633"/>
      <c r="B31" s="637"/>
      <c r="C31" s="27"/>
      <c r="D31" s="27"/>
      <c r="E31" s="27"/>
      <c r="F31" s="28"/>
      <c r="G31" s="29"/>
      <c r="H31" s="633"/>
      <c r="I31" s="634"/>
      <c r="J31" s="634"/>
      <c r="K31" s="637"/>
      <c r="L31" s="1">
        <f t="shared" si="1"/>
        <v>9</v>
      </c>
      <c r="M31" s="1" t="str">
        <f t="shared" si="3"/>
        <v>Yes</v>
      </c>
      <c r="N31" s="1" t="str">
        <f t="shared" si="2"/>
        <v/>
      </c>
    </row>
    <row r="32" spans="1:14" ht="15" customHeight="1" x14ac:dyDescent="0.2">
      <c r="A32" s="633"/>
      <c r="B32" s="637"/>
      <c r="C32" s="27"/>
      <c r="D32" s="27"/>
      <c r="E32" s="27"/>
      <c r="F32" s="28"/>
      <c r="G32" s="29"/>
      <c r="H32" s="633"/>
      <c r="I32" s="634"/>
      <c r="J32" s="634"/>
      <c r="K32" s="637"/>
      <c r="L32" s="1">
        <f t="shared" si="1"/>
        <v>9</v>
      </c>
      <c r="M32" s="1" t="str">
        <f t="shared" si="3"/>
        <v>Yes</v>
      </c>
      <c r="N32" s="1" t="str">
        <f t="shared" si="2"/>
        <v/>
      </c>
    </row>
    <row r="33" spans="1:14" ht="15" customHeight="1" x14ac:dyDescent="0.2">
      <c r="A33" s="633"/>
      <c r="B33" s="637"/>
      <c r="C33" s="27"/>
      <c r="D33" s="27"/>
      <c r="E33" s="27"/>
      <c r="F33" s="28"/>
      <c r="G33" s="29"/>
      <c r="H33" s="633"/>
      <c r="I33" s="634"/>
      <c r="J33" s="634"/>
      <c r="K33" s="637"/>
      <c r="L33" s="1">
        <f t="shared" si="1"/>
        <v>9</v>
      </c>
      <c r="M33" s="1" t="str">
        <f t="shared" si="3"/>
        <v>Yes</v>
      </c>
      <c r="N33" s="1" t="str">
        <f t="shared" si="2"/>
        <v/>
      </c>
    </row>
    <row r="34" spans="1:14" ht="15" customHeight="1" x14ac:dyDescent="0.2">
      <c r="A34" s="633"/>
      <c r="B34" s="637"/>
      <c r="C34" s="27"/>
      <c r="D34" s="27"/>
      <c r="E34" s="27"/>
      <c r="F34" s="28"/>
      <c r="G34" s="29"/>
      <c r="H34" s="633"/>
      <c r="I34" s="634"/>
      <c r="J34" s="634"/>
      <c r="K34" s="637"/>
      <c r="L34" s="1">
        <f t="shared" si="1"/>
        <v>9</v>
      </c>
      <c r="M34" s="1" t="str">
        <f t="shared" si="3"/>
        <v>Yes</v>
      </c>
      <c r="N34" s="1" t="str">
        <f t="shared" si="2"/>
        <v/>
      </c>
    </row>
    <row r="35" spans="1:14" ht="15" customHeight="1" x14ac:dyDescent="0.2">
      <c r="A35" s="633"/>
      <c r="B35" s="637"/>
      <c r="C35" s="27"/>
      <c r="D35" s="27"/>
      <c r="E35" s="27"/>
      <c r="F35" s="28"/>
      <c r="G35" s="29"/>
      <c r="H35" s="633"/>
      <c r="I35" s="634"/>
      <c r="J35" s="634"/>
      <c r="K35" s="637"/>
      <c r="L35" s="1">
        <f t="shared" si="1"/>
        <v>9</v>
      </c>
      <c r="M35" s="1" t="str">
        <f t="shared" si="3"/>
        <v>Yes</v>
      </c>
      <c r="N35" s="1" t="str">
        <f t="shared" si="2"/>
        <v/>
      </c>
    </row>
    <row r="36" spans="1:14" ht="15" customHeight="1" x14ac:dyDescent="0.2">
      <c r="A36" s="633"/>
      <c r="B36" s="637"/>
      <c r="C36" s="27"/>
      <c r="D36" s="27"/>
      <c r="E36" s="27"/>
      <c r="F36" s="28"/>
      <c r="G36" s="29"/>
      <c r="H36" s="633"/>
      <c r="I36" s="634"/>
      <c r="J36" s="634"/>
      <c r="K36" s="637"/>
      <c r="L36" s="1">
        <f t="shared" si="1"/>
        <v>9</v>
      </c>
      <c r="M36" s="1" t="str">
        <f t="shared" si="3"/>
        <v>Yes</v>
      </c>
      <c r="N36" s="1" t="str">
        <f t="shared" si="2"/>
        <v/>
      </c>
    </row>
    <row r="37" spans="1:14" ht="15" customHeight="1" x14ac:dyDescent="0.2">
      <c r="A37" s="633"/>
      <c r="B37" s="637"/>
      <c r="C37" s="27"/>
      <c r="D37" s="27"/>
      <c r="E37" s="27"/>
      <c r="F37" s="28"/>
      <c r="G37" s="29"/>
      <c r="H37" s="633"/>
      <c r="I37" s="634"/>
      <c r="J37" s="634"/>
      <c r="K37" s="637"/>
      <c r="L37" s="1">
        <f t="shared" si="1"/>
        <v>9</v>
      </c>
      <c r="M37" s="1" t="str">
        <f t="shared" si="3"/>
        <v>Yes</v>
      </c>
      <c r="N37" s="1" t="str">
        <f t="shared" si="2"/>
        <v/>
      </c>
    </row>
    <row r="38" spans="1:14" ht="15" customHeight="1" x14ac:dyDescent="0.2">
      <c r="A38" s="633"/>
      <c r="B38" s="637"/>
      <c r="C38" s="27"/>
      <c r="D38" s="27"/>
      <c r="E38" s="27"/>
      <c r="F38" s="28"/>
      <c r="G38" s="29"/>
      <c r="H38" s="633"/>
      <c r="I38" s="634"/>
      <c r="J38" s="634"/>
      <c r="K38" s="637"/>
      <c r="L38" s="1">
        <f t="shared" ref="L38:L70" si="4">COUNTBLANK(C38:K38)</f>
        <v>9</v>
      </c>
      <c r="M38" s="1" t="str">
        <f t="shared" ref="M38:M70" si="5">IF(AND(A38&lt;&gt;"",L38&gt;3),"No","Yes")</f>
        <v>Yes</v>
      </c>
      <c r="N38" s="1" t="str">
        <f t="shared" ref="N38:N70" si="6">CONCATENATE(D38,E38)</f>
        <v/>
      </c>
    </row>
    <row r="39" spans="1:14" ht="15" customHeight="1" x14ac:dyDescent="0.2">
      <c r="A39" s="633"/>
      <c r="B39" s="637"/>
      <c r="C39" s="27"/>
      <c r="D39" s="27"/>
      <c r="E39" s="27"/>
      <c r="F39" s="28"/>
      <c r="G39" s="29"/>
      <c r="H39" s="633"/>
      <c r="I39" s="634"/>
      <c r="J39" s="634"/>
      <c r="K39" s="637"/>
      <c r="L39" s="1">
        <f t="shared" si="4"/>
        <v>9</v>
      </c>
      <c r="M39" s="1" t="str">
        <f t="shared" si="5"/>
        <v>Yes</v>
      </c>
      <c r="N39" s="1" t="str">
        <f t="shared" si="6"/>
        <v/>
      </c>
    </row>
    <row r="40" spans="1:14" ht="15" customHeight="1" x14ac:dyDescent="0.2">
      <c r="A40" s="633"/>
      <c r="B40" s="637"/>
      <c r="C40" s="27"/>
      <c r="D40" s="27"/>
      <c r="E40" s="27"/>
      <c r="F40" s="28"/>
      <c r="G40" s="29"/>
      <c r="H40" s="633"/>
      <c r="I40" s="634"/>
      <c r="J40" s="634"/>
      <c r="K40" s="637"/>
      <c r="L40" s="1">
        <f t="shared" si="4"/>
        <v>9</v>
      </c>
      <c r="M40" s="1" t="str">
        <f t="shared" si="5"/>
        <v>Yes</v>
      </c>
      <c r="N40" s="1" t="str">
        <f t="shared" si="6"/>
        <v/>
      </c>
    </row>
    <row r="41" spans="1:14" ht="15" customHeight="1" x14ac:dyDescent="0.2">
      <c r="A41" s="633"/>
      <c r="B41" s="637"/>
      <c r="C41" s="27"/>
      <c r="D41" s="27"/>
      <c r="E41" s="27"/>
      <c r="F41" s="28"/>
      <c r="G41" s="29"/>
      <c r="H41" s="633"/>
      <c r="I41" s="634"/>
      <c r="J41" s="634"/>
      <c r="K41" s="637"/>
      <c r="L41" s="1">
        <f t="shared" si="4"/>
        <v>9</v>
      </c>
      <c r="M41" s="1" t="str">
        <f t="shared" si="5"/>
        <v>Yes</v>
      </c>
      <c r="N41" s="1" t="str">
        <f t="shared" si="6"/>
        <v/>
      </c>
    </row>
    <row r="42" spans="1:14" ht="15" customHeight="1" x14ac:dyDescent="0.2">
      <c r="A42" s="633"/>
      <c r="B42" s="637"/>
      <c r="C42" s="27"/>
      <c r="D42" s="27"/>
      <c r="E42" s="27"/>
      <c r="F42" s="28"/>
      <c r="G42" s="29"/>
      <c r="H42" s="633"/>
      <c r="I42" s="634"/>
      <c r="J42" s="634"/>
      <c r="K42" s="637"/>
      <c r="L42" s="1">
        <f t="shared" si="4"/>
        <v>9</v>
      </c>
      <c r="M42" s="1" t="str">
        <f t="shared" si="5"/>
        <v>Yes</v>
      </c>
      <c r="N42" s="1" t="str">
        <f t="shared" si="6"/>
        <v/>
      </c>
    </row>
    <row r="43" spans="1:14" ht="15" customHeight="1" x14ac:dyDescent="0.2">
      <c r="A43" s="633"/>
      <c r="B43" s="637"/>
      <c r="C43" s="27"/>
      <c r="D43" s="27"/>
      <c r="E43" s="27"/>
      <c r="F43" s="28"/>
      <c r="G43" s="29"/>
      <c r="H43" s="633"/>
      <c r="I43" s="634"/>
      <c r="J43" s="634"/>
      <c r="K43" s="637"/>
      <c r="L43" s="1">
        <f t="shared" si="4"/>
        <v>9</v>
      </c>
      <c r="M43" s="1" t="str">
        <f t="shared" si="5"/>
        <v>Yes</v>
      </c>
      <c r="N43" s="1" t="str">
        <f t="shared" si="6"/>
        <v/>
      </c>
    </row>
    <row r="44" spans="1:14" ht="15" customHeight="1" x14ac:dyDescent="0.2">
      <c r="A44" s="633"/>
      <c r="B44" s="637"/>
      <c r="C44" s="27"/>
      <c r="D44" s="27"/>
      <c r="E44" s="27"/>
      <c r="F44" s="28"/>
      <c r="G44" s="29"/>
      <c r="H44" s="633"/>
      <c r="I44" s="634"/>
      <c r="J44" s="634"/>
      <c r="K44" s="637"/>
      <c r="L44" s="1">
        <f t="shared" si="4"/>
        <v>9</v>
      </c>
      <c r="M44" s="1" t="str">
        <f t="shared" si="5"/>
        <v>Yes</v>
      </c>
      <c r="N44" s="1" t="str">
        <f t="shared" si="6"/>
        <v/>
      </c>
    </row>
    <row r="45" spans="1:14" ht="15" customHeight="1" x14ac:dyDescent="0.2">
      <c r="A45" s="633"/>
      <c r="B45" s="637"/>
      <c r="C45" s="27"/>
      <c r="D45" s="27"/>
      <c r="E45" s="27"/>
      <c r="F45" s="28"/>
      <c r="G45" s="29"/>
      <c r="H45" s="633"/>
      <c r="I45" s="634"/>
      <c r="J45" s="634"/>
      <c r="K45" s="637"/>
      <c r="L45" s="1">
        <f t="shared" si="4"/>
        <v>9</v>
      </c>
      <c r="M45" s="1" t="str">
        <f t="shared" si="5"/>
        <v>Yes</v>
      </c>
      <c r="N45" s="1" t="str">
        <f t="shared" si="6"/>
        <v/>
      </c>
    </row>
    <row r="46" spans="1:14" ht="15" customHeight="1" x14ac:dyDescent="0.2">
      <c r="A46" s="633"/>
      <c r="B46" s="637"/>
      <c r="C46" s="27"/>
      <c r="D46" s="27"/>
      <c r="E46" s="27"/>
      <c r="F46" s="28"/>
      <c r="G46" s="29"/>
      <c r="H46" s="633"/>
      <c r="I46" s="634"/>
      <c r="J46" s="634"/>
      <c r="K46" s="637"/>
      <c r="L46" s="1">
        <f t="shared" si="4"/>
        <v>9</v>
      </c>
      <c r="M46" s="1" t="str">
        <f t="shared" si="5"/>
        <v>Yes</v>
      </c>
      <c r="N46" s="1" t="str">
        <f t="shared" si="6"/>
        <v/>
      </c>
    </row>
    <row r="47" spans="1:14" ht="15" customHeight="1" x14ac:dyDescent="0.2">
      <c r="A47" s="633"/>
      <c r="B47" s="637"/>
      <c r="C47" s="27"/>
      <c r="D47" s="27"/>
      <c r="E47" s="27"/>
      <c r="F47" s="28"/>
      <c r="G47" s="29"/>
      <c r="H47" s="633"/>
      <c r="I47" s="634"/>
      <c r="J47" s="634"/>
      <c r="K47" s="637"/>
      <c r="L47" s="1">
        <f t="shared" si="4"/>
        <v>9</v>
      </c>
      <c r="M47" s="1" t="str">
        <f t="shared" si="5"/>
        <v>Yes</v>
      </c>
      <c r="N47" s="1" t="str">
        <f t="shared" si="6"/>
        <v/>
      </c>
    </row>
    <row r="48" spans="1:14" ht="15" customHeight="1" x14ac:dyDescent="0.2">
      <c r="A48" s="633"/>
      <c r="B48" s="637"/>
      <c r="C48" s="27"/>
      <c r="D48" s="27"/>
      <c r="E48" s="27"/>
      <c r="F48" s="28"/>
      <c r="G48" s="29"/>
      <c r="H48" s="633"/>
      <c r="I48" s="634"/>
      <c r="J48" s="634"/>
      <c r="K48" s="637"/>
      <c r="L48" s="1">
        <f t="shared" si="4"/>
        <v>9</v>
      </c>
      <c r="M48" s="1" t="str">
        <f t="shared" si="5"/>
        <v>Yes</v>
      </c>
      <c r="N48" s="1" t="str">
        <f t="shared" si="6"/>
        <v/>
      </c>
    </row>
    <row r="49" spans="1:14" ht="15" customHeight="1" x14ac:dyDescent="0.2">
      <c r="A49" s="633"/>
      <c r="B49" s="637"/>
      <c r="C49" s="27"/>
      <c r="D49" s="27"/>
      <c r="E49" s="27"/>
      <c r="F49" s="28"/>
      <c r="G49" s="29"/>
      <c r="H49" s="633"/>
      <c r="I49" s="634"/>
      <c r="J49" s="634"/>
      <c r="K49" s="637"/>
      <c r="L49" s="1">
        <f t="shared" si="4"/>
        <v>9</v>
      </c>
      <c r="M49" s="1" t="str">
        <f t="shared" si="5"/>
        <v>Yes</v>
      </c>
      <c r="N49" s="1" t="str">
        <f t="shared" si="6"/>
        <v/>
      </c>
    </row>
    <row r="50" spans="1:14" ht="15" customHeight="1" x14ac:dyDescent="0.2">
      <c r="A50" s="633"/>
      <c r="B50" s="637"/>
      <c r="C50" s="27"/>
      <c r="D50" s="27"/>
      <c r="E50" s="27"/>
      <c r="F50" s="28"/>
      <c r="G50" s="29"/>
      <c r="H50" s="633"/>
      <c r="I50" s="634"/>
      <c r="J50" s="634"/>
      <c r="K50" s="637"/>
      <c r="L50" s="1">
        <f t="shared" ref="L50:L59" si="7">COUNTBLANK(C50:K50)</f>
        <v>9</v>
      </c>
      <c r="M50" s="1" t="str">
        <f t="shared" ref="M50:M59" si="8">IF(AND(A50&lt;&gt;"",L50&gt;3),"No","Yes")</f>
        <v>Yes</v>
      </c>
      <c r="N50" s="1" t="str">
        <f t="shared" ref="N50:N59" si="9">CONCATENATE(D50,E50)</f>
        <v/>
      </c>
    </row>
    <row r="51" spans="1:14" ht="15" customHeight="1" x14ac:dyDescent="0.2">
      <c r="A51" s="633"/>
      <c r="B51" s="637"/>
      <c r="C51" s="27"/>
      <c r="D51" s="27"/>
      <c r="E51" s="27"/>
      <c r="F51" s="28"/>
      <c r="G51" s="29"/>
      <c r="H51" s="633"/>
      <c r="I51" s="634"/>
      <c r="J51" s="634"/>
      <c r="K51" s="637"/>
      <c r="L51" s="1">
        <f t="shared" si="7"/>
        <v>9</v>
      </c>
      <c r="M51" s="1" t="str">
        <f t="shared" si="8"/>
        <v>Yes</v>
      </c>
      <c r="N51" s="1" t="str">
        <f t="shared" si="9"/>
        <v/>
      </c>
    </row>
    <row r="52" spans="1:14" ht="15" customHeight="1" x14ac:dyDescent="0.2">
      <c r="A52" s="633"/>
      <c r="B52" s="637"/>
      <c r="C52" s="27"/>
      <c r="D52" s="27"/>
      <c r="E52" s="27"/>
      <c r="F52" s="28"/>
      <c r="G52" s="29"/>
      <c r="H52" s="633"/>
      <c r="I52" s="634"/>
      <c r="J52" s="634"/>
      <c r="K52" s="637"/>
      <c r="L52" s="1">
        <f t="shared" si="7"/>
        <v>9</v>
      </c>
      <c r="M52" s="1" t="str">
        <f t="shared" si="8"/>
        <v>Yes</v>
      </c>
      <c r="N52" s="1" t="str">
        <f t="shared" si="9"/>
        <v/>
      </c>
    </row>
    <row r="53" spans="1:14" ht="15" customHeight="1" x14ac:dyDescent="0.2">
      <c r="A53" s="633"/>
      <c r="B53" s="637"/>
      <c r="C53" s="27"/>
      <c r="D53" s="27"/>
      <c r="E53" s="27"/>
      <c r="F53" s="28"/>
      <c r="G53" s="29"/>
      <c r="H53" s="633"/>
      <c r="I53" s="634"/>
      <c r="J53" s="634"/>
      <c r="K53" s="637"/>
      <c r="L53" s="1">
        <f t="shared" si="7"/>
        <v>9</v>
      </c>
      <c r="M53" s="1" t="str">
        <f t="shared" si="8"/>
        <v>Yes</v>
      </c>
      <c r="N53" s="1" t="str">
        <f t="shared" si="9"/>
        <v/>
      </c>
    </row>
    <row r="54" spans="1:14" ht="15" customHeight="1" x14ac:dyDescent="0.2">
      <c r="A54" s="633"/>
      <c r="B54" s="637"/>
      <c r="C54" s="27"/>
      <c r="D54" s="27"/>
      <c r="E54" s="27"/>
      <c r="F54" s="28"/>
      <c r="G54" s="29"/>
      <c r="H54" s="633"/>
      <c r="I54" s="634"/>
      <c r="J54" s="634"/>
      <c r="K54" s="637"/>
      <c r="L54" s="1">
        <f t="shared" si="7"/>
        <v>9</v>
      </c>
      <c r="M54" s="1" t="str">
        <f t="shared" si="8"/>
        <v>Yes</v>
      </c>
      <c r="N54" s="1" t="str">
        <f t="shared" si="9"/>
        <v/>
      </c>
    </row>
    <row r="55" spans="1:14" ht="15" customHeight="1" x14ac:dyDescent="0.2">
      <c r="A55" s="633"/>
      <c r="B55" s="637"/>
      <c r="C55" s="27"/>
      <c r="D55" s="27"/>
      <c r="E55" s="27"/>
      <c r="F55" s="28"/>
      <c r="G55" s="29"/>
      <c r="H55" s="633"/>
      <c r="I55" s="634"/>
      <c r="J55" s="634"/>
      <c r="K55" s="637"/>
      <c r="L55" s="1">
        <f t="shared" si="7"/>
        <v>9</v>
      </c>
      <c r="M55" s="1" t="str">
        <f t="shared" si="8"/>
        <v>Yes</v>
      </c>
      <c r="N55" s="1" t="str">
        <f t="shared" si="9"/>
        <v/>
      </c>
    </row>
    <row r="56" spans="1:14" ht="15" customHeight="1" x14ac:dyDescent="0.2">
      <c r="A56" s="633"/>
      <c r="B56" s="637"/>
      <c r="C56" s="27"/>
      <c r="D56" s="27"/>
      <c r="E56" s="27"/>
      <c r="F56" s="28"/>
      <c r="G56" s="29"/>
      <c r="H56" s="633"/>
      <c r="I56" s="634"/>
      <c r="J56" s="634"/>
      <c r="K56" s="637"/>
      <c r="L56" s="1">
        <f t="shared" si="7"/>
        <v>9</v>
      </c>
      <c r="M56" s="1" t="str">
        <f t="shared" si="8"/>
        <v>Yes</v>
      </c>
      <c r="N56" s="1" t="str">
        <f t="shared" si="9"/>
        <v/>
      </c>
    </row>
    <row r="57" spans="1:14" ht="15" customHeight="1" x14ac:dyDescent="0.2">
      <c r="A57" s="633"/>
      <c r="B57" s="637"/>
      <c r="C57" s="27"/>
      <c r="D57" s="27"/>
      <c r="E57" s="27"/>
      <c r="F57" s="28"/>
      <c r="G57" s="29"/>
      <c r="H57" s="633"/>
      <c r="I57" s="634"/>
      <c r="J57" s="634"/>
      <c r="K57" s="637"/>
      <c r="L57" s="1">
        <f t="shared" si="7"/>
        <v>9</v>
      </c>
      <c r="M57" s="1" t="str">
        <f t="shared" si="8"/>
        <v>Yes</v>
      </c>
      <c r="N57" s="1" t="str">
        <f t="shared" si="9"/>
        <v/>
      </c>
    </row>
    <row r="58" spans="1:14" ht="15" customHeight="1" x14ac:dyDescent="0.2">
      <c r="A58" s="633"/>
      <c r="B58" s="637"/>
      <c r="C58" s="27"/>
      <c r="D58" s="27"/>
      <c r="E58" s="27"/>
      <c r="F58" s="28"/>
      <c r="G58" s="29"/>
      <c r="H58" s="633"/>
      <c r="I58" s="634"/>
      <c r="J58" s="634"/>
      <c r="K58" s="637"/>
      <c r="L58" s="1">
        <f t="shared" si="7"/>
        <v>9</v>
      </c>
      <c r="M58" s="1" t="str">
        <f t="shared" si="8"/>
        <v>Yes</v>
      </c>
      <c r="N58" s="1" t="str">
        <f t="shared" si="9"/>
        <v/>
      </c>
    </row>
    <row r="59" spans="1:14" ht="15" customHeight="1" x14ac:dyDescent="0.2">
      <c r="A59" s="633"/>
      <c r="B59" s="637"/>
      <c r="C59" s="27"/>
      <c r="D59" s="27"/>
      <c r="E59" s="27"/>
      <c r="F59" s="28"/>
      <c r="G59" s="29"/>
      <c r="H59" s="633"/>
      <c r="I59" s="634"/>
      <c r="J59" s="634"/>
      <c r="K59" s="637"/>
      <c r="L59" s="1">
        <f t="shared" si="7"/>
        <v>9</v>
      </c>
      <c r="M59" s="1" t="str">
        <f t="shared" si="8"/>
        <v>Yes</v>
      </c>
      <c r="N59" s="1" t="str">
        <f t="shared" si="9"/>
        <v/>
      </c>
    </row>
    <row r="60" spans="1:14" ht="15" customHeight="1" x14ac:dyDescent="0.2">
      <c r="A60" s="633"/>
      <c r="B60" s="637"/>
      <c r="C60" s="27"/>
      <c r="D60" s="27"/>
      <c r="E60" s="27"/>
      <c r="F60" s="28"/>
      <c r="G60" s="29"/>
      <c r="H60" s="633"/>
      <c r="I60" s="634"/>
      <c r="J60" s="634"/>
      <c r="K60" s="637"/>
      <c r="L60" s="1">
        <f t="shared" si="4"/>
        <v>9</v>
      </c>
      <c r="M60" s="1" t="str">
        <f t="shared" si="5"/>
        <v>Yes</v>
      </c>
      <c r="N60" s="1" t="str">
        <f t="shared" si="6"/>
        <v/>
      </c>
    </row>
    <row r="61" spans="1:14" ht="15" customHeight="1" x14ac:dyDescent="0.2">
      <c r="A61" s="633"/>
      <c r="B61" s="637"/>
      <c r="C61" s="27"/>
      <c r="D61" s="27"/>
      <c r="E61" s="27"/>
      <c r="F61" s="28"/>
      <c r="G61" s="29"/>
      <c r="H61" s="633"/>
      <c r="I61" s="634"/>
      <c r="J61" s="634"/>
      <c r="K61" s="637"/>
      <c r="L61" s="1">
        <f t="shared" si="4"/>
        <v>9</v>
      </c>
      <c r="M61" s="1" t="str">
        <f t="shared" si="5"/>
        <v>Yes</v>
      </c>
      <c r="N61" s="1" t="str">
        <f t="shared" si="6"/>
        <v/>
      </c>
    </row>
    <row r="62" spans="1:14" ht="15" customHeight="1" x14ac:dyDescent="0.2">
      <c r="A62" s="633"/>
      <c r="B62" s="637"/>
      <c r="C62" s="27"/>
      <c r="D62" s="27"/>
      <c r="E62" s="27"/>
      <c r="F62" s="28"/>
      <c r="G62" s="29"/>
      <c r="H62" s="633"/>
      <c r="I62" s="634"/>
      <c r="J62" s="634"/>
      <c r="K62" s="637"/>
      <c r="L62" s="1">
        <f t="shared" si="4"/>
        <v>9</v>
      </c>
      <c r="M62" s="1" t="str">
        <f t="shared" si="5"/>
        <v>Yes</v>
      </c>
      <c r="N62" s="1" t="str">
        <f t="shared" si="6"/>
        <v/>
      </c>
    </row>
    <row r="63" spans="1:14" ht="15" customHeight="1" x14ac:dyDescent="0.2">
      <c r="A63" s="633"/>
      <c r="B63" s="637"/>
      <c r="C63" s="27"/>
      <c r="D63" s="27"/>
      <c r="E63" s="27"/>
      <c r="F63" s="28"/>
      <c r="G63" s="29"/>
      <c r="H63" s="633"/>
      <c r="I63" s="634"/>
      <c r="J63" s="634"/>
      <c r="K63" s="637"/>
      <c r="L63" s="1">
        <f t="shared" si="4"/>
        <v>9</v>
      </c>
      <c r="M63" s="1" t="str">
        <f t="shared" si="5"/>
        <v>Yes</v>
      </c>
      <c r="N63" s="1" t="str">
        <f t="shared" si="6"/>
        <v/>
      </c>
    </row>
    <row r="64" spans="1:14" ht="15" customHeight="1" x14ac:dyDescent="0.2">
      <c r="A64" s="633"/>
      <c r="B64" s="637"/>
      <c r="C64" s="27"/>
      <c r="D64" s="27"/>
      <c r="E64" s="27"/>
      <c r="F64" s="28"/>
      <c r="G64" s="29"/>
      <c r="H64" s="633"/>
      <c r="I64" s="634"/>
      <c r="J64" s="634"/>
      <c r="K64" s="637"/>
      <c r="L64" s="1">
        <f t="shared" si="4"/>
        <v>9</v>
      </c>
      <c r="M64" s="1" t="str">
        <f t="shared" si="5"/>
        <v>Yes</v>
      </c>
      <c r="N64" s="1" t="str">
        <f t="shared" si="6"/>
        <v/>
      </c>
    </row>
    <row r="65" spans="1:14" ht="15" customHeight="1" x14ac:dyDescent="0.2">
      <c r="A65" s="633"/>
      <c r="B65" s="637"/>
      <c r="C65" s="27"/>
      <c r="D65" s="27"/>
      <c r="E65" s="27"/>
      <c r="F65" s="28"/>
      <c r="G65" s="29"/>
      <c r="H65" s="633"/>
      <c r="I65" s="634"/>
      <c r="J65" s="634"/>
      <c r="K65" s="637"/>
      <c r="L65" s="1">
        <f t="shared" si="4"/>
        <v>9</v>
      </c>
      <c r="M65" s="1" t="str">
        <f t="shared" si="5"/>
        <v>Yes</v>
      </c>
      <c r="N65" s="1" t="str">
        <f t="shared" si="6"/>
        <v/>
      </c>
    </row>
    <row r="66" spans="1:14" ht="15" customHeight="1" x14ac:dyDescent="0.2">
      <c r="A66" s="633"/>
      <c r="B66" s="637"/>
      <c r="C66" s="27"/>
      <c r="D66" s="27"/>
      <c r="E66" s="27"/>
      <c r="F66" s="28"/>
      <c r="G66" s="29"/>
      <c r="H66" s="633"/>
      <c r="I66" s="634"/>
      <c r="J66" s="634"/>
      <c r="K66" s="637"/>
      <c r="L66" s="1">
        <f t="shared" si="4"/>
        <v>9</v>
      </c>
      <c r="M66" s="1" t="str">
        <f t="shared" si="5"/>
        <v>Yes</v>
      </c>
      <c r="N66" s="1" t="str">
        <f t="shared" si="6"/>
        <v/>
      </c>
    </row>
    <row r="67" spans="1:14" ht="15" customHeight="1" x14ac:dyDescent="0.2">
      <c r="A67" s="633"/>
      <c r="B67" s="637"/>
      <c r="C67" s="27"/>
      <c r="D67" s="27"/>
      <c r="E67" s="27"/>
      <c r="F67" s="28"/>
      <c r="G67" s="29"/>
      <c r="H67" s="633"/>
      <c r="I67" s="634"/>
      <c r="J67" s="634"/>
      <c r="K67" s="637"/>
      <c r="L67" s="1">
        <f t="shared" si="4"/>
        <v>9</v>
      </c>
      <c r="M67" s="1" t="str">
        <f t="shared" si="5"/>
        <v>Yes</v>
      </c>
      <c r="N67" s="1" t="str">
        <f t="shared" si="6"/>
        <v/>
      </c>
    </row>
    <row r="68" spans="1:14" ht="15" customHeight="1" x14ac:dyDescent="0.2">
      <c r="A68" s="633"/>
      <c r="B68" s="637"/>
      <c r="C68" s="27"/>
      <c r="D68" s="27"/>
      <c r="E68" s="27"/>
      <c r="F68" s="28"/>
      <c r="G68" s="29"/>
      <c r="H68" s="633"/>
      <c r="I68" s="634"/>
      <c r="J68" s="634"/>
      <c r="K68" s="637"/>
      <c r="L68" s="1">
        <f t="shared" si="4"/>
        <v>9</v>
      </c>
      <c r="M68" s="1" t="str">
        <f t="shared" si="5"/>
        <v>Yes</v>
      </c>
      <c r="N68" s="1" t="str">
        <f t="shared" si="6"/>
        <v/>
      </c>
    </row>
    <row r="69" spans="1:14" ht="15" customHeight="1" x14ac:dyDescent="0.2">
      <c r="A69" s="633"/>
      <c r="B69" s="637"/>
      <c r="C69" s="27"/>
      <c r="D69" s="27"/>
      <c r="E69" s="27"/>
      <c r="F69" s="28"/>
      <c r="G69" s="29"/>
      <c r="H69" s="633"/>
      <c r="I69" s="634"/>
      <c r="J69" s="634"/>
      <c r="K69" s="637"/>
      <c r="L69" s="1">
        <f t="shared" si="4"/>
        <v>9</v>
      </c>
      <c r="M69" s="1" t="str">
        <f t="shared" si="5"/>
        <v>Yes</v>
      </c>
      <c r="N69" s="1" t="str">
        <f t="shared" si="6"/>
        <v/>
      </c>
    </row>
    <row r="70" spans="1:14" ht="15" customHeight="1" x14ac:dyDescent="0.2">
      <c r="A70" s="633"/>
      <c r="B70" s="637"/>
      <c r="C70" s="27"/>
      <c r="D70" s="27"/>
      <c r="E70" s="27"/>
      <c r="F70" s="28"/>
      <c r="G70" s="29"/>
      <c r="H70" s="633"/>
      <c r="I70" s="634"/>
      <c r="J70" s="634"/>
      <c r="K70" s="637"/>
      <c r="L70" s="1">
        <f t="shared" si="4"/>
        <v>9</v>
      </c>
      <c r="M70" s="1" t="str">
        <f t="shared" si="5"/>
        <v>Yes</v>
      </c>
      <c r="N70" s="1" t="str">
        <f t="shared" si="6"/>
        <v/>
      </c>
    </row>
    <row r="71" spans="1:14" ht="15" customHeight="1" x14ac:dyDescent="0.2">
      <c r="A71" s="682" t="s">
        <v>92</v>
      </c>
      <c r="B71" s="682"/>
      <c r="C71" s="682"/>
      <c r="D71" s="682"/>
      <c r="E71" s="34"/>
      <c r="F71" s="32">
        <f>SUM(F15:F70)</f>
        <v>0</v>
      </c>
      <c r="G71" s="683" t="s">
        <v>93</v>
      </c>
      <c r="H71" s="683"/>
      <c r="I71" s="683"/>
      <c r="J71" s="683"/>
      <c r="K71" s="33">
        <f>SUM(G15:G70)</f>
        <v>0</v>
      </c>
      <c r="M71" s="1">
        <f>COUNTIF(M15:M70,"Yes")</f>
        <v>56</v>
      </c>
    </row>
    <row r="72" spans="1:14" ht="15" customHeight="1" x14ac:dyDescent="0.2">
      <c r="A72" s="747"/>
      <c r="B72" s="673"/>
      <c r="C72" s="673"/>
      <c r="D72" s="673"/>
      <c r="E72" s="673"/>
      <c r="F72" s="673"/>
      <c r="G72" s="673"/>
      <c r="H72" s="673"/>
      <c r="I72" s="673"/>
      <c r="J72" s="673"/>
      <c r="K72" s="748"/>
    </row>
    <row r="73" spans="1:14" ht="18" customHeight="1" x14ac:dyDescent="0.2">
      <c r="A73" s="749" t="s">
        <v>44</v>
      </c>
      <c r="B73" s="651"/>
      <c r="C73" s="651"/>
      <c r="D73" s="651"/>
      <c r="E73" s="651"/>
      <c r="F73" s="651"/>
      <c r="G73" s="651"/>
      <c r="H73" s="651"/>
      <c r="I73" s="651"/>
      <c r="J73" s="651"/>
      <c r="K73" s="750"/>
    </row>
    <row r="74" spans="1:14" ht="18" customHeight="1" x14ac:dyDescent="0.2">
      <c r="A74" s="749" t="s">
        <v>478</v>
      </c>
      <c r="B74" s="651"/>
      <c r="C74" s="651"/>
      <c r="D74" s="651"/>
      <c r="E74" s="651"/>
      <c r="F74" s="651"/>
      <c r="G74" s="651"/>
      <c r="H74" s="651"/>
      <c r="I74" s="651"/>
      <c r="J74" s="651"/>
      <c r="K74" s="750"/>
    </row>
    <row r="75" spans="1:14" ht="15" customHeight="1" x14ac:dyDescent="0.2">
      <c r="A75" s="666" t="s">
        <v>49</v>
      </c>
      <c r="B75" s="654"/>
      <c r="C75" s="654"/>
      <c r="D75" s="655"/>
      <c r="E75" s="662" t="s">
        <v>43</v>
      </c>
      <c r="F75" s="662" t="s">
        <v>118</v>
      </c>
      <c r="G75" s="665" t="s">
        <v>104</v>
      </c>
      <c r="H75" s="666" t="s">
        <v>53</v>
      </c>
      <c r="I75" s="654"/>
      <c r="J75" s="654"/>
      <c r="K75" s="655"/>
    </row>
    <row r="76" spans="1:14" ht="15" customHeight="1" x14ac:dyDescent="0.2">
      <c r="A76" s="668"/>
      <c r="B76" s="657"/>
      <c r="C76" s="657"/>
      <c r="D76" s="658"/>
      <c r="E76" s="663"/>
      <c r="F76" s="663"/>
      <c r="G76" s="663"/>
      <c r="H76" s="668"/>
      <c r="I76" s="657"/>
      <c r="J76" s="657"/>
      <c r="K76" s="658"/>
    </row>
    <row r="77" spans="1:14" ht="15" customHeight="1" x14ac:dyDescent="0.2">
      <c r="A77" s="668"/>
      <c r="B77" s="657"/>
      <c r="C77" s="657"/>
      <c r="D77" s="658"/>
      <c r="E77" s="663"/>
      <c r="F77" s="663"/>
      <c r="G77" s="663"/>
      <c r="H77" s="668"/>
      <c r="I77" s="657"/>
      <c r="J77" s="657"/>
      <c r="K77" s="658"/>
    </row>
    <row r="78" spans="1:14" ht="15" customHeight="1" x14ac:dyDescent="0.2">
      <c r="A78" s="668"/>
      <c r="B78" s="657"/>
      <c r="C78" s="657"/>
      <c r="D78" s="658"/>
      <c r="E78" s="663"/>
      <c r="F78" s="663"/>
      <c r="G78" s="663"/>
      <c r="H78" s="668"/>
      <c r="I78" s="657"/>
      <c r="J78" s="657"/>
      <c r="K78" s="658"/>
    </row>
    <row r="79" spans="1:14" ht="15" customHeight="1" x14ac:dyDescent="0.2">
      <c r="A79" s="668"/>
      <c r="B79" s="657"/>
      <c r="C79" s="657"/>
      <c r="D79" s="658"/>
      <c r="E79" s="663"/>
      <c r="F79" s="663"/>
      <c r="G79" s="663"/>
      <c r="H79" s="668"/>
      <c r="I79" s="657"/>
      <c r="J79" s="657"/>
      <c r="K79" s="658"/>
    </row>
    <row r="80" spans="1:14" ht="14.25" customHeight="1" x14ac:dyDescent="0.2">
      <c r="A80" s="670"/>
      <c r="B80" s="660"/>
      <c r="C80" s="660"/>
      <c r="D80" s="661"/>
      <c r="E80" s="664"/>
      <c r="F80" s="664"/>
      <c r="G80" s="664"/>
      <c r="H80" s="670"/>
      <c r="I80" s="660"/>
      <c r="J80" s="660"/>
      <c r="K80" s="661"/>
    </row>
    <row r="81" spans="1:14" ht="15" customHeight="1" x14ac:dyDescent="0.2">
      <c r="A81" s="633"/>
      <c r="B81" s="634"/>
      <c r="C81" s="634"/>
      <c r="D81" s="637"/>
      <c r="E81" s="27"/>
      <c r="F81" s="27"/>
      <c r="G81" s="29"/>
      <c r="H81" s="633"/>
      <c r="I81" s="634"/>
      <c r="J81" s="634"/>
      <c r="K81" s="637"/>
      <c r="L81" s="1">
        <f t="shared" ref="L81:L105" si="10">COUNTBLANK(E81:K81)</f>
        <v>7</v>
      </c>
      <c r="M81" s="1" t="str">
        <f>IF(AND(A81&lt;&gt;"",L81&gt;3),"No","Yes")</f>
        <v>Yes</v>
      </c>
      <c r="N81" s="1" t="str">
        <f>CONCATENATE(E81,F81)</f>
        <v/>
      </c>
    </row>
    <row r="82" spans="1:14" ht="15" customHeight="1" x14ac:dyDescent="0.2">
      <c r="A82" s="633"/>
      <c r="B82" s="634"/>
      <c r="C82" s="634"/>
      <c r="D82" s="637"/>
      <c r="E82" s="27"/>
      <c r="F82" s="27"/>
      <c r="G82" s="29"/>
      <c r="H82" s="633"/>
      <c r="I82" s="634"/>
      <c r="J82" s="634"/>
      <c r="K82" s="637"/>
      <c r="L82" s="1">
        <f t="shared" si="10"/>
        <v>7</v>
      </c>
      <c r="M82" s="1" t="str">
        <f t="shared" ref="M82:M105" si="11">IF(AND(A82&lt;&gt;"",L82&gt;3),"No","Yes")</f>
        <v>Yes</v>
      </c>
      <c r="N82" s="1" t="str">
        <f t="shared" ref="N82:N105" si="12">CONCATENATE(E82,F82)</f>
        <v/>
      </c>
    </row>
    <row r="83" spans="1:14" ht="15" customHeight="1" x14ac:dyDescent="0.2">
      <c r="A83" s="633"/>
      <c r="B83" s="634"/>
      <c r="C83" s="634"/>
      <c r="D83" s="637"/>
      <c r="E83" s="27"/>
      <c r="F83" s="27"/>
      <c r="G83" s="29"/>
      <c r="H83" s="633"/>
      <c r="I83" s="634"/>
      <c r="J83" s="634"/>
      <c r="K83" s="637"/>
      <c r="L83" s="1">
        <f t="shared" si="10"/>
        <v>7</v>
      </c>
      <c r="M83" s="1" t="str">
        <f t="shared" si="11"/>
        <v>Yes</v>
      </c>
      <c r="N83" s="1" t="str">
        <f t="shared" si="12"/>
        <v/>
      </c>
    </row>
    <row r="84" spans="1:14" ht="15" customHeight="1" x14ac:dyDescent="0.2">
      <c r="A84" s="633"/>
      <c r="B84" s="634"/>
      <c r="C84" s="634"/>
      <c r="D84" s="637"/>
      <c r="E84" s="27"/>
      <c r="F84" s="27"/>
      <c r="G84" s="29"/>
      <c r="H84" s="633"/>
      <c r="I84" s="634"/>
      <c r="J84" s="634"/>
      <c r="K84" s="637"/>
      <c r="L84" s="1">
        <f t="shared" si="10"/>
        <v>7</v>
      </c>
      <c r="M84" s="1" t="str">
        <f t="shared" si="11"/>
        <v>Yes</v>
      </c>
      <c r="N84" s="1" t="str">
        <f t="shared" si="12"/>
        <v/>
      </c>
    </row>
    <row r="85" spans="1:14" ht="15" customHeight="1" x14ac:dyDescent="0.2">
      <c r="A85" s="633"/>
      <c r="B85" s="634"/>
      <c r="C85" s="634"/>
      <c r="D85" s="637"/>
      <c r="E85" s="27"/>
      <c r="F85" s="27"/>
      <c r="G85" s="29"/>
      <c r="H85" s="633"/>
      <c r="I85" s="634"/>
      <c r="J85" s="634"/>
      <c r="K85" s="637"/>
      <c r="L85" s="1">
        <f t="shared" si="10"/>
        <v>7</v>
      </c>
      <c r="M85" s="1" t="str">
        <f t="shared" si="11"/>
        <v>Yes</v>
      </c>
      <c r="N85" s="1" t="str">
        <f t="shared" si="12"/>
        <v/>
      </c>
    </row>
    <row r="86" spans="1:14" ht="15" customHeight="1" x14ac:dyDescent="0.2">
      <c r="A86" s="633"/>
      <c r="B86" s="634"/>
      <c r="C86" s="634"/>
      <c r="D86" s="637"/>
      <c r="E86" s="27"/>
      <c r="F86" s="27"/>
      <c r="G86" s="29"/>
      <c r="H86" s="633"/>
      <c r="I86" s="634"/>
      <c r="J86" s="634"/>
      <c r="K86" s="637"/>
      <c r="L86" s="1">
        <f t="shared" si="10"/>
        <v>7</v>
      </c>
      <c r="M86" s="1" t="str">
        <f t="shared" si="11"/>
        <v>Yes</v>
      </c>
      <c r="N86" s="1" t="str">
        <f t="shared" si="12"/>
        <v/>
      </c>
    </row>
    <row r="87" spans="1:14" ht="15" customHeight="1" x14ac:dyDescent="0.2">
      <c r="A87" s="633"/>
      <c r="B87" s="634"/>
      <c r="C87" s="634"/>
      <c r="D87" s="637"/>
      <c r="E87" s="27"/>
      <c r="F87" s="27"/>
      <c r="G87" s="29"/>
      <c r="H87" s="633"/>
      <c r="I87" s="634"/>
      <c r="J87" s="634"/>
      <c r="K87" s="637"/>
      <c r="L87" s="1">
        <f t="shared" si="10"/>
        <v>7</v>
      </c>
      <c r="M87" s="1" t="str">
        <f t="shared" si="11"/>
        <v>Yes</v>
      </c>
      <c r="N87" s="1" t="str">
        <f t="shared" si="12"/>
        <v/>
      </c>
    </row>
    <row r="88" spans="1:14" ht="15" customHeight="1" x14ac:dyDescent="0.2">
      <c r="A88" s="633"/>
      <c r="B88" s="634"/>
      <c r="C88" s="634"/>
      <c r="D88" s="637"/>
      <c r="E88" s="27"/>
      <c r="F88" s="27"/>
      <c r="G88" s="29"/>
      <c r="H88" s="633"/>
      <c r="I88" s="634"/>
      <c r="J88" s="634"/>
      <c r="K88" s="637"/>
      <c r="L88" s="1">
        <f t="shared" si="10"/>
        <v>7</v>
      </c>
      <c r="M88" s="1" t="str">
        <f t="shared" si="11"/>
        <v>Yes</v>
      </c>
      <c r="N88" s="1" t="str">
        <f t="shared" si="12"/>
        <v/>
      </c>
    </row>
    <row r="89" spans="1:14" ht="15" customHeight="1" x14ac:dyDescent="0.2">
      <c r="A89" s="633"/>
      <c r="B89" s="634"/>
      <c r="C89" s="634"/>
      <c r="D89" s="637"/>
      <c r="E89" s="27"/>
      <c r="F89" s="27"/>
      <c r="G89" s="29"/>
      <c r="H89" s="633"/>
      <c r="I89" s="634"/>
      <c r="J89" s="634"/>
      <c r="K89" s="637"/>
      <c r="L89" s="1">
        <f t="shared" si="10"/>
        <v>7</v>
      </c>
      <c r="M89" s="1" t="str">
        <f t="shared" si="11"/>
        <v>Yes</v>
      </c>
      <c r="N89" s="1" t="str">
        <f t="shared" si="12"/>
        <v/>
      </c>
    </row>
    <row r="90" spans="1:14" ht="15" customHeight="1" x14ac:dyDescent="0.2">
      <c r="A90" s="633"/>
      <c r="B90" s="634"/>
      <c r="C90" s="634"/>
      <c r="D90" s="637"/>
      <c r="E90" s="27"/>
      <c r="F90" s="27"/>
      <c r="G90" s="29"/>
      <c r="H90" s="633"/>
      <c r="I90" s="634"/>
      <c r="J90" s="634"/>
      <c r="K90" s="637"/>
      <c r="L90" s="1">
        <f t="shared" si="10"/>
        <v>7</v>
      </c>
      <c r="M90" s="1" t="str">
        <f t="shared" si="11"/>
        <v>Yes</v>
      </c>
      <c r="N90" s="1" t="str">
        <f t="shared" si="12"/>
        <v/>
      </c>
    </row>
    <row r="91" spans="1:14" ht="15" customHeight="1" x14ac:dyDescent="0.2">
      <c r="A91" s="633"/>
      <c r="B91" s="634"/>
      <c r="C91" s="634"/>
      <c r="D91" s="637"/>
      <c r="E91" s="27"/>
      <c r="F91" s="27"/>
      <c r="G91" s="29"/>
      <c r="H91" s="633"/>
      <c r="I91" s="634"/>
      <c r="J91" s="634"/>
      <c r="K91" s="637"/>
      <c r="L91" s="1">
        <f t="shared" si="10"/>
        <v>7</v>
      </c>
      <c r="M91" s="1" t="str">
        <f t="shared" si="11"/>
        <v>Yes</v>
      </c>
      <c r="N91" s="1" t="str">
        <f t="shared" si="12"/>
        <v/>
      </c>
    </row>
    <row r="92" spans="1:14" ht="15" customHeight="1" x14ac:dyDescent="0.2">
      <c r="A92" s="633"/>
      <c r="B92" s="634"/>
      <c r="C92" s="634"/>
      <c r="D92" s="637"/>
      <c r="E92" s="27"/>
      <c r="F92" s="27"/>
      <c r="G92" s="29"/>
      <c r="H92" s="633"/>
      <c r="I92" s="634"/>
      <c r="J92" s="634"/>
      <c r="K92" s="637"/>
      <c r="L92" s="1">
        <f t="shared" si="10"/>
        <v>7</v>
      </c>
      <c r="M92" s="1" t="str">
        <f t="shared" si="11"/>
        <v>Yes</v>
      </c>
      <c r="N92" s="1" t="str">
        <f t="shared" si="12"/>
        <v/>
      </c>
    </row>
    <row r="93" spans="1:14" ht="15" customHeight="1" x14ac:dyDescent="0.2">
      <c r="A93" s="633"/>
      <c r="B93" s="634"/>
      <c r="C93" s="634"/>
      <c r="D93" s="637"/>
      <c r="E93" s="27"/>
      <c r="F93" s="27"/>
      <c r="G93" s="29"/>
      <c r="H93" s="633"/>
      <c r="I93" s="634"/>
      <c r="J93" s="634"/>
      <c r="K93" s="637"/>
      <c r="L93" s="1">
        <f t="shared" si="10"/>
        <v>7</v>
      </c>
      <c r="M93" s="1" t="str">
        <f t="shared" si="11"/>
        <v>Yes</v>
      </c>
      <c r="N93" s="1" t="str">
        <f t="shared" si="12"/>
        <v/>
      </c>
    </row>
    <row r="94" spans="1:14" ht="15" customHeight="1" x14ac:dyDescent="0.2">
      <c r="A94" s="633"/>
      <c r="B94" s="634"/>
      <c r="C94" s="634"/>
      <c r="D94" s="637"/>
      <c r="E94" s="27"/>
      <c r="F94" s="27"/>
      <c r="G94" s="29"/>
      <c r="H94" s="633"/>
      <c r="I94" s="634"/>
      <c r="J94" s="634"/>
      <c r="K94" s="637"/>
      <c r="L94" s="1">
        <f t="shared" si="10"/>
        <v>7</v>
      </c>
      <c r="M94" s="1" t="str">
        <f t="shared" si="11"/>
        <v>Yes</v>
      </c>
      <c r="N94" s="1" t="str">
        <f t="shared" si="12"/>
        <v/>
      </c>
    </row>
    <row r="95" spans="1:14" ht="15" customHeight="1" x14ac:dyDescent="0.2">
      <c r="A95" s="633"/>
      <c r="B95" s="634"/>
      <c r="C95" s="634"/>
      <c r="D95" s="637"/>
      <c r="E95" s="27"/>
      <c r="F95" s="27"/>
      <c r="G95" s="29"/>
      <c r="H95" s="633"/>
      <c r="I95" s="634"/>
      <c r="J95" s="634"/>
      <c r="K95" s="637"/>
      <c r="L95" s="1">
        <f t="shared" si="10"/>
        <v>7</v>
      </c>
      <c r="M95" s="1" t="str">
        <f t="shared" si="11"/>
        <v>Yes</v>
      </c>
      <c r="N95" s="1" t="str">
        <f t="shared" si="12"/>
        <v/>
      </c>
    </row>
    <row r="96" spans="1:14" ht="15" customHeight="1" x14ac:dyDescent="0.2">
      <c r="A96" s="633"/>
      <c r="B96" s="634"/>
      <c r="C96" s="634"/>
      <c r="D96" s="637"/>
      <c r="E96" s="27"/>
      <c r="F96" s="27"/>
      <c r="G96" s="29"/>
      <c r="H96" s="633"/>
      <c r="I96" s="634"/>
      <c r="J96" s="634"/>
      <c r="K96" s="637"/>
      <c r="L96" s="1">
        <f t="shared" si="10"/>
        <v>7</v>
      </c>
      <c r="M96" s="1" t="str">
        <f t="shared" si="11"/>
        <v>Yes</v>
      </c>
      <c r="N96" s="1" t="str">
        <f t="shared" si="12"/>
        <v/>
      </c>
    </row>
    <row r="97" spans="1:14" ht="15" customHeight="1" x14ac:dyDescent="0.2">
      <c r="A97" s="633"/>
      <c r="B97" s="634"/>
      <c r="C97" s="634"/>
      <c r="D97" s="637"/>
      <c r="E97" s="27"/>
      <c r="F97" s="27"/>
      <c r="G97" s="29"/>
      <c r="H97" s="633"/>
      <c r="I97" s="634"/>
      <c r="J97" s="634"/>
      <c r="K97" s="637"/>
      <c r="L97" s="1">
        <f t="shared" si="10"/>
        <v>7</v>
      </c>
      <c r="M97" s="1" t="str">
        <f t="shared" si="11"/>
        <v>Yes</v>
      </c>
      <c r="N97" s="1" t="str">
        <f t="shared" si="12"/>
        <v/>
      </c>
    </row>
    <row r="98" spans="1:14" ht="15" customHeight="1" x14ac:dyDescent="0.2">
      <c r="A98" s="633"/>
      <c r="B98" s="634"/>
      <c r="C98" s="634"/>
      <c r="D98" s="637"/>
      <c r="E98" s="27"/>
      <c r="F98" s="27"/>
      <c r="G98" s="29"/>
      <c r="H98" s="633"/>
      <c r="I98" s="634"/>
      <c r="J98" s="634"/>
      <c r="K98" s="637"/>
      <c r="L98" s="1">
        <f t="shared" si="10"/>
        <v>7</v>
      </c>
      <c r="M98" s="1" t="str">
        <f t="shared" si="11"/>
        <v>Yes</v>
      </c>
      <c r="N98" s="1" t="str">
        <f t="shared" si="12"/>
        <v/>
      </c>
    </row>
    <row r="99" spans="1:14" ht="15" customHeight="1" x14ac:dyDescent="0.2">
      <c r="A99" s="633"/>
      <c r="B99" s="634"/>
      <c r="C99" s="634"/>
      <c r="D99" s="637"/>
      <c r="E99" s="27"/>
      <c r="F99" s="27"/>
      <c r="G99" s="29"/>
      <c r="H99" s="633"/>
      <c r="I99" s="634"/>
      <c r="J99" s="634"/>
      <c r="K99" s="637"/>
      <c r="L99" s="1">
        <f t="shared" si="10"/>
        <v>7</v>
      </c>
      <c r="M99" s="1" t="str">
        <f t="shared" si="11"/>
        <v>Yes</v>
      </c>
      <c r="N99" s="1" t="str">
        <f t="shared" si="12"/>
        <v/>
      </c>
    </row>
    <row r="100" spans="1:14" ht="15" customHeight="1" x14ac:dyDescent="0.2">
      <c r="A100" s="633"/>
      <c r="B100" s="634"/>
      <c r="C100" s="634"/>
      <c r="D100" s="637"/>
      <c r="E100" s="27"/>
      <c r="F100" s="27"/>
      <c r="G100" s="29"/>
      <c r="H100" s="633"/>
      <c r="I100" s="634"/>
      <c r="J100" s="634"/>
      <c r="K100" s="637"/>
      <c r="L100" s="1">
        <f t="shared" si="10"/>
        <v>7</v>
      </c>
      <c r="M100" s="1" t="str">
        <f t="shared" si="11"/>
        <v>Yes</v>
      </c>
      <c r="N100" s="1" t="str">
        <f t="shared" si="12"/>
        <v/>
      </c>
    </row>
    <row r="101" spans="1:14" ht="15" customHeight="1" x14ac:dyDescent="0.2">
      <c r="A101" s="633"/>
      <c r="B101" s="634"/>
      <c r="C101" s="634"/>
      <c r="D101" s="637"/>
      <c r="E101" s="27"/>
      <c r="F101" s="27"/>
      <c r="G101" s="29"/>
      <c r="H101" s="633"/>
      <c r="I101" s="634"/>
      <c r="J101" s="634"/>
      <c r="K101" s="637"/>
      <c r="L101" s="1">
        <f t="shared" si="10"/>
        <v>7</v>
      </c>
      <c r="M101" s="1" t="str">
        <f t="shared" si="11"/>
        <v>Yes</v>
      </c>
      <c r="N101" s="1" t="str">
        <f t="shared" si="12"/>
        <v/>
      </c>
    </row>
    <row r="102" spans="1:14" ht="15" customHeight="1" x14ac:dyDescent="0.2">
      <c r="A102" s="633"/>
      <c r="B102" s="634"/>
      <c r="C102" s="634"/>
      <c r="D102" s="637"/>
      <c r="E102" s="27"/>
      <c r="F102" s="27"/>
      <c r="G102" s="29"/>
      <c r="H102" s="633"/>
      <c r="I102" s="634"/>
      <c r="J102" s="634"/>
      <c r="K102" s="637"/>
      <c r="L102" s="1">
        <f t="shared" si="10"/>
        <v>7</v>
      </c>
      <c r="M102" s="1" t="str">
        <f t="shared" si="11"/>
        <v>Yes</v>
      </c>
      <c r="N102" s="1" t="str">
        <f t="shared" si="12"/>
        <v/>
      </c>
    </row>
    <row r="103" spans="1:14" ht="15" customHeight="1" x14ac:dyDescent="0.2">
      <c r="A103" s="633"/>
      <c r="B103" s="634"/>
      <c r="C103" s="634"/>
      <c r="D103" s="637"/>
      <c r="E103" s="27"/>
      <c r="F103" s="27"/>
      <c r="G103" s="29"/>
      <c r="H103" s="633"/>
      <c r="I103" s="634"/>
      <c r="J103" s="634"/>
      <c r="K103" s="637"/>
      <c r="L103" s="1">
        <f t="shared" si="10"/>
        <v>7</v>
      </c>
      <c r="M103" s="1" t="str">
        <f t="shared" si="11"/>
        <v>Yes</v>
      </c>
      <c r="N103" s="1" t="str">
        <f t="shared" si="12"/>
        <v/>
      </c>
    </row>
    <row r="104" spans="1:14" ht="15" customHeight="1" x14ac:dyDescent="0.2">
      <c r="A104" s="633"/>
      <c r="B104" s="634"/>
      <c r="C104" s="634"/>
      <c r="D104" s="637"/>
      <c r="E104" s="27"/>
      <c r="F104" s="27"/>
      <c r="G104" s="29"/>
      <c r="H104" s="633"/>
      <c r="I104" s="634"/>
      <c r="J104" s="634"/>
      <c r="K104" s="637"/>
      <c r="L104" s="1">
        <f t="shared" si="10"/>
        <v>7</v>
      </c>
      <c r="M104" s="1" t="str">
        <f t="shared" si="11"/>
        <v>Yes</v>
      </c>
      <c r="N104" s="1" t="str">
        <f t="shared" si="12"/>
        <v/>
      </c>
    </row>
    <row r="105" spans="1:14" ht="15" customHeight="1" x14ac:dyDescent="0.2">
      <c r="A105" s="633"/>
      <c r="B105" s="634"/>
      <c r="C105" s="634"/>
      <c r="D105" s="637"/>
      <c r="E105" s="27"/>
      <c r="F105" s="27"/>
      <c r="G105" s="29"/>
      <c r="H105" s="633"/>
      <c r="I105" s="634"/>
      <c r="J105" s="634"/>
      <c r="K105" s="637"/>
      <c r="L105" s="1">
        <f t="shared" si="10"/>
        <v>7</v>
      </c>
      <c r="M105" s="1" t="str">
        <f t="shared" si="11"/>
        <v>Yes</v>
      </c>
      <c r="N105" s="1" t="str">
        <f t="shared" si="12"/>
        <v/>
      </c>
    </row>
    <row r="106" spans="1:14" ht="15" customHeight="1" x14ac:dyDescent="0.2">
      <c r="A106" s="751" t="s">
        <v>91</v>
      </c>
      <c r="B106" s="645"/>
      <c r="C106" s="645"/>
      <c r="D106" s="645"/>
      <c r="E106" s="645"/>
      <c r="F106" s="646"/>
      <c r="G106" s="647">
        <f>SUM(G81:G105)</f>
        <v>0</v>
      </c>
      <c r="H106" s="648"/>
      <c r="I106" s="648"/>
      <c r="J106" s="648"/>
      <c r="K106" s="752"/>
      <c r="M106" s="1">
        <f>COUNTIF(M81:M105,"Yes")</f>
        <v>25</v>
      </c>
    </row>
    <row r="107" spans="1:14" ht="15" customHeight="1" x14ac:dyDescent="0.2">
      <c r="A107" s="747"/>
      <c r="B107" s="673"/>
      <c r="C107" s="673"/>
      <c r="D107" s="673"/>
      <c r="E107" s="673"/>
      <c r="F107" s="673"/>
      <c r="G107" s="673"/>
      <c r="H107" s="673"/>
      <c r="I107" s="673"/>
      <c r="J107" s="673"/>
      <c r="K107" s="748"/>
    </row>
    <row r="108" spans="1:14" ht="18" customHeight="1" x14ac:dyDescent="0.2">
      <c r="A108" s="749" t="s">
        <v>45</v>
      </c>
      <c r="B108" s="651"/>
      <c r="C108" s="651"/>
      <c r="D108" s="651"/>
      <c r="E108" s="651"/>
      <c r="F108" s="651"/>
      <c r="G108" s="651"/>
      <c r="H108" s="651"/>
      <c r="I108" s="651"/>
      <c r="J108" s="651"/>
      <c r="K108" s="750"/>
    </row>
    <row r="109" spans="1:14" ht="18" customHeight="1" x14ac:dyDescent="0.2">
      <c r="A109" s="749" t="s">
        <v>478</v>
      </c>
      <c r="B109" s="651"/>
      <c r="C109" s="651"/>
      <c r="D109" s="651"/>
      <c r="E109" s="651"/>
      <c r="F109" s="651"/>
      <c r="G109" s="651"/>
      <c r="H109" s="651"/>
      <c r="I109" s="651"/>
      <c r="J109" s="651"/>
      <c r="K109" s="750"/>
    </row>
    <row r="110" spans="1:14" ht="15" customHeight="1" x14ac:dyDescent="0.2">
      <c r="A110" s="666" t="s">
        <v>49</v>
      </c>
      <c r="B110" s="654"/>
      <c r="C110" s="654"/>
      <c r="D110" s="655"/>
      <c r="E110" s="662" t="s">
        <v>43</v>
      </c>
      <c r="F110" s="662" t="s">
        <v>118</v>
      </c>
      <c r="G110" s="665" t="s">
        <v>104</v>
      </c>
      <c r="H110" s="666" t="s">
        <v>53</v>
      </c>
      <c r="I110" s="684"/>
      <c r="J110" s="684"/>
      <c r="K110" s="753"/>
    </row>
    <row r="111" spans="1:14" ht="15" customHeight="1" x14ac:dyDescent="0.2">
      <c r="A111" s="668"/>
      <c r="B111" s="657"/>
      <c r="C111" s="657"/>
      <c r="D111" s="658"/>
      <c r="E111" s="663"/>
      <c r="F111" s="663"/>
      <c r="G111" s="663"/>
      <c r="H111" s="686"/>
      <c r="I111" s="754"/>
      <c r="J111" s="754"/>
      <c r="K111" s="755"/>
    </row>
    <row r="112" spans="1:14" ht="15" customHeight="1" x14ac:dyDescent="0.2">
      <c r="A112" s="668"/>
      <c r="B112" s="657"/>
      <c r="C112" s="657"/>
      <c r="D112" s="658"/>
      <c r="E112" s="663"/>
      <c r="F112" s="663"/>
      <c r="G112" s="663"/>
      <c r="H112" s="686"/>
      <c r="I112" s="754"/>
      <c r="J112" s="754"/>
      <c r="K112" s="755"/>
    </row>
    <row r="113" spans="1:14" ht="15" customHeight="1" x14ac:dyDescent="0.2">
      <c r="A113" s="668"/>
      <c r="B113" s="657"/>
      <c r="C113" s="657"/>
      <c r="D113" s="658"/>
      <c r="E113" s="663"/>
      <c r="F113" s="663"/>
      <c r="G113" s="663"/>
      <c r="H113" s="686"/>
      <c r="I113" s="754"/>
      <c r="J113" s="754"/>
      <c r="K113" s="755"/>
    </row>
    <row r="114" spans="1:14" ht="15" customHeight="1" x14ac:dyDescent="0.2">
      <c r="A114" s="668"/>
      <c r="B114" s="657"/>
      <c r="C114" s="657"/>
      <c r="D114" s="658"/>
      <c r="E114" s="663"/>
      <c r="F114" s="663"/>
      <c r="G114" s="663"/>
      <c r="H114" s="686"/>
      <c r="I114" s="754"/>
      <c r="J114" s="754"/>
      <c r="K114" s="755"/>
    </row>
    <row r="115" spans="1:14" ht="14.25" customHeight="1" x14ac:dyDescent="0.2">
      <c r="A115" s="670"/>
      <c r="B115" s="660"/>
      <c r="C115" s="660"/>
      <c r="D115" s="661"/>
      <c r="E115" s="664"/>
      <c r="F115" s="664"/>
      <c r="G115" s="664"/>
      <c r="H115" s="689"/>
      <c r="I115" s="690"/>
      <c r="J115" s="690"/>
      <c r="K115" s="756"/>
    </row>
    <row r="116" spans="1:14" ht="15" customHeight="1" x14ac:dyDescent="0.2">
      <c r="A116" s="633"/>
      <c r="B116" s="634"/>
      <c r="C116" s="634"/>
      <c r="D116" s="637"/>
      <c r="E116" s="27"/>
      <c r="F116" s="27"/>
      <c r="G116" s="29"/>
      <c r="H116" s="633"/>
      <c r="I116" s="692"/>
      <c r="J116" s="692"/>
      <c r="K116" s="757"/>
      <c r="L116" s="1">
        <f t="shared" ref="L116:L140" si="13">COUNTBLANK(E116:K116)</f>
        <v>7</v>
      </c>
      <c r="M116" s="1" t="str">
        <f>IF(AND(A116&lt;&gt;"",L116&gt;3),"No","Yes")</f>
        <v>Yes</v>
      </c>
      <c r="N116" s="1" t="str">
        <f t="shared" ref="N116:N140" si="14">CONCATENATE(E116,F116)</f>
        <v/>
      </c>
    </row>
    <row r="117" spans="1:14" ht="15" customHeight="1" x14ac:dyDescent="0.2">
      <c r="A117" s="633"/>
      <c r="B117" s="634"/>
      <c r="C117" s="634"/>
      <c r="D117" s="637"/>
      <c r="E117" s="27"/>
      <c r="F117" s="27"/>
      <c r="G117" s="29"/>
      <c r="H117" s="633"/>
      <c r="I117" s="634"/>
      <c r="J117" s="634"/>
      <c r="K117" s="637"/>
      <c r="L117" s="1">
        <f t="shared" si="13"/>
        <v>7</v>
      </c>
      <c r="M117" s="1" t="str">
        <f t="shared" ref="M117:M140" si="15">IF(AND(A117&lt;&gt;"",L117&gt;3),"No","Yes")</f>
        <v>Yes</v>
      </c>
      <c r="N117" s="1" t="str">
        <f t="shared" si="14"/>
        <v/>
      </c>
    </row>
    <row r="118" spans="1:14" ht="15" customHeight="1" x14ac:dyDescent="0.2">
      <c r="A118" s="633"/>
      <c r="B118" s="634"/>
      <c r="C118" s="634"/>
      <c r="D118" s="637"/>
      <c r="E118" s="27"/>
      <c r="F118" s="27"/>
      <c r="G118" s="29"/>
      <c r="H118" s="633"/>
      <c r="I118" s="634"/>
      <c r="J118" s="634"/>
      <c r="K118" s="637"/>
      <c r="L118" s="1">
        <f t="shared" si="13"/>
        <v>7</v>
      </c>
      <c r="M118" s="1" t="str">
        <f t="shared" si="15"/>
        <v>Yes</v>
      </c>
      <c r="N118" s="1" t="str">
        <f t="shared" si="14"/>
        <v/>
      </c>
    </row>
    <row r="119" spans="1:14" ht="15" customHeight="1" x14ac:dyDescent="0.2">
      <c r="A119" s="633"/>
      <c r="B119" s="634"/>
      <c r="C119" s="634"/>
      <c r="D119" s="637"/>
      <c r="E119" s="27"/>
      <c r="F119" s="27"/>
      <c r="G119" s="29"/>
      <c r="H119" s="633"/>
      <c r="I119" s="634"/>
      <c r="J119" s="634"/>
      <c r="K119" s="637"/>
      <c r="L119" s="1">
        <f t="shared" si="13"/>
        <v>7</v>
      </c>
      <c r="M119" s="1" t="str">
        <f t="shared" si="15"/>
        <v>Yes</v>
      </c>
      <c r="N119" s="1" t="str">
        <f t="shared" si="14"/>
        <v/>
      </c>
    </row>
    <row r="120" spans="1:14" ht="15" customHeight="1" x14ac:dyDescent="0.2">
      <c r="A120" s="633"/>
      <c r="B120" s="634"/>
      <c r="C120" s="634"/>
      <c r="D120" s="637"/>
      <c r="E120" s="27"/>
      <c r="F120" s="27"/>
      <c r="G120" s="29"/>
      <c r="H120" s="633"/>
      <c r="I120" s="634"/>
      <c r="J120" s="634"/>
      <c r="K120" s="637"/>
      <c r="L120" s="1">
        <f t="shared" si="13"/>
        <v>7</v>
      </c>
      <c r="M120" s="1" t="str">
        <f t="shared" si="15"/>
        <v>Yes</v>
      </c>
      <c r="N120" s="1" t="str">
        <f t="shared" si="14"/>
        <v/>
      </c>
    </row>
    <row r="121" spans="1:14" ht="15" customHeight="1" x14ac:dyDescent="0.2">
      <c r="A121" s="633"/>
      <c r="B121" s="634"/>
      <c r="C121" s="634"/>
      <c r="D121" s="637"/>
      <c r="E121" s="27"/>
      <c r="F121" s="27"/>
      <c r="G121" s="29"/>
      <c r="H121" s="633"/>
      <c r="I121" s="634"/>
      <c r="J121" s="634"/>
      <c r="K121" s="637"/>
      <c r="L121" s="1">
        <f t="shared" si="13"/>
        <v>7</v>
      </c>
      <c r="M121" s="1" t="str">
        <f t="shared" si="15"/>
        <v>Yes</v>
      </c>
      <c r="N121" s="1" t="str">
        <f t="shared" si="14"/>
        <v/>
      </c>
    </row>
    <row r="122" spans="1:14" ht="15" customHeight="1" x14ac:dyDescent="0.2">
      <c r="A122" s="633"/>
      <c r="B122" s="634"/>
      <c r="C122" s="634"/>
      <c r="D122" s="637"/>
      <c r="E122" s="27"/>
      <c r="F122" s="27"/>
      <c r="G122" s="29"/>
      <c r="H122" s="633"/>
      <c r="I122" s="634"/>
      <c r="J122" s="634"/>
      <c r="K122" s="637"/>
      <c r="L122" s="1">
        <f t="shared" si="13"/>
        <v>7</v>
      </c>
      <c r="M122" s="1" t="str">
        <f t="shared" si="15"/>
        <v>Yes</v>
      </c>
      <c r="N122" s="1" t="str">
        <f t="shared" si="14"/>
        <v/>
      </c>
    </row>
    <row r="123" spans="1:14" ht="15" customHeight="1" x14ac:dyDescent="0.2">
      <c r="A123" s="633"/>
      <c r="B123" s="634"/>
      <c r="C123" s="634"/>
      <c r="D123" s="637"/>
      <c r="E123" s="27"/>
      <c r="F123" s="27"/>
      <c r="G123" s="29"/>
      <c r="H123" s="633"/>
      <c r="I123" s="634"/>
      <c r="J123" s="634"/>
      <c r="K123" s="637"/>
      <c r="L123" s="1">
        <f t="shared" si="13"/>
        <v>7</v>
      </c>
      <c r="M123" s="1" t="str">
        <f t="shared" si="15"/>
        <v>Yes</v>
      </c>
      <c r="N123" s="1" t="str">
        <f t="shared" si="14"/>
        <v/>
      </c>
    </row>
    <row r="124" spans="1:14" ht="15" customHeight="1" x14ac:dyDescent="0.2">
      <c r="A124" s="633"/>
      <c r="B124" s="634"/>
      <c r="C124" s="634"/>
      <c r="D124" s="637"/>
      <c r="E124" s="27"/>
      <c r="F124" s="27"/>
      <c r="G124" s="29"/>
      <c r="H124" s="633"/>
      <c r="I124" s="634"/>
      <c r="J124" s="634"/>
      <c r="K124" s="637"/>
      <c r="L124" s="1">
        <f t="shared" si="13"/>
        <v>7</v>
      </c>
      <c r="M124" s="1" t="str">
        <f t="shared" si="15"/>
        <v>Yes</v>
      </c>
      <c r="N124" s="1" t="str">
        <f t="shared" si="14"/>
        <v/>
      </c>
    </row>
    <row r="125" spans="1:14" ht="15" customHeight="1" x14ac:dyDescent="0.2">
      <c r="A125" s="633"/>
      <c r="B125" s="634"/>
      <c r="C125" s="634"/>
      <c r="D125" s="637"/>
      <c r="E125" s="27"/>
      <c r="F125" s="27"/>
      <c r="G125" s="29"/>
      <c r="H125" s="633"/>
      <c r="I125" s="634"/>
      <c r="J125" s="634"/>
      <c r="K125" s="637"/>
      <c r="L125" s="1">
        <f t="shared" si="13"/>
        <v>7</v>
      </c>
      <c r="M125" s="1" t="str">
        <f t="shared" si="15"/>
        <v>Yes</v>
      </c>
      <c r="N125" s="1" t="str">
        <f t="shared" si="14"/>
        <v/>
      </c>
    </row>
    <row r="126" spans="1:14" ht="15" customHeight="1" x14ac:dyDescent="0.2">
      <c r="A126" s="633"/>
      <c r="B126" s="634"/>
      <c r="C126" s="634"/>
      <c r="D126" s="637"/>
      <c r="E126" s="27"/>
      <c r="F126" s="27"/>
      <c r="G126" s="29"/>
      <c r="H126" s="633"/>
      <c r="I126" s="634"/>
      <c r="J126" s="634"/>
      <c r="K126" s="637"/>
      <c r="L126" s="1">
        <f t="shared" si="13"/>
        <v>7</v>
      </c>
      <c r="M126" s="1" t="str">
        <f t="shared" si="15"/>
        <v>Yes</v>
      </c>
      <c r="N126" s="1" t="str">
        <f t="shared" si="14"/>
        <v/>
      </c>
    </row>
    <row r="127" spans="1:14" ht="15" customHeight="1" x14ac:dyDescent="0.2">
      <c r="A127" s="633"/>
      <c r="B127" s="634"/>
      <c r="C127" s="634"/>
      <c r="D127" s="637"/>
      <c r="E127" s="27"/>
      <c r="F127" s="27"/>
      <c r="G127" s="29"/>
      <c r="H127" s="633"/>
      <c r="I127" s="634"/>
      <c r="J127" s="634"/>
      <c r="K127" s="637"/>
      <c r="L127" s="1">
        <f t="shared" si="13"/>
        <v>7</v>
      </c>
      <c r="M127" s="1" t="str">
        <f t="shared" si="15"/>
        <v>Yes</v>
      </c>
      <c r="N127" s="1" t="str">
        <f t="shared" si="14"/>
        <v/>
      </c>
    </row>
    <row r="128" spans="1:14" ht="15" customHeight="1" x14ac:dyDescent="0.2">
      <c r="A128" s="633"/>
      <c r="B128" s="634"/>
      <c r="C128" s="634"/>
      <c r="D128" s="637"/>
      <c r="E128" s="27"/>
      <c r="F128" s="27"/>
      <c r="G128" s="29"/>
      <c r="H128" s="633"/>
      <c r="I128" s="634"/>
      <c r="J128" s="634"/>
      <c r="K128" s="637"/>
      <c r="L128" s="1">
        <f t="shared" si="13"/>
        <v>7</v>
      </c>
      <c r="M128" s="1" t="str">
        <f t="shared" si="15"/>
        <v>Yes</v>
      </c>
      <c r="N128" s="1" t="str">
        <f t="shared" si="14"/>
        <v/>
      </c>
    </row>
    <row r="129" spans="1:14" ht="15" customHeight="1" x14ac:dyDescent="0.2">
      <c r="A129" s="633"/>
      <c r="B129" s="634"/>
      <c r="C129" s="634"/>
      <c r="D129" s="637"/>
      <c r="E129" s="27"/>
      <c r="F129" s="27"/>
      <c r="G129" s="29"/>
      <c r="H129" s="633"/>
      <c r="I129" s="634"/>
      <c r="J129" s="634"/>
      <c r="K129" s="637"/>
      <c r="L129" s="1">
        <f t="shared" si="13"/>
        <v>7</v>
      </c>
      <c r="M129" s="1" t="str">
        <f t="shared" si="15"/>
        <v>Yes</v>
      </c>
      <c r="N129" s="1" t="str">
        <f t="shared" si="14"/>
        <v/>
      </c>
    </row>
    <row r="130" spans="1:14" ht="15" customHeight="1" x14ac:dyDescent="0.2">
      <c r="A130" s="633"/>
      <c r="B130" s="634"/>
      <c r="C130" s="634"/>
      <c r="D130" s="637"/>
      <c r="E130" s="27"/>
      <c r="F130" s="27"/>
      <c r="G130" s="29"/>
      <c r="H130" s="633"/>
      <c r="I130" s="634"/>
      <c r="J130" s="634"/>
      <c r="K130" s="637"/>
      <c r="L130" s="1">
        <f t="shared" si="13"/>
        <v>7</v>
      </c>
      <c r="M130" s="1" t="str">
        <f t="shared" si="15"/>
        <v>Yes</v>
      </c>
      <c r="N130" s="1" t="str">
        <f t="shared" si="14"/>
        <v/>
      </c>
    </row>
    <row r="131" spans="1:14" ht="15" customHeight="1" x14ac:dyDescent="0.2">
      <c r="A131" s="633"/>
      <c r="B131" s="634"/>
      <c r="C131" s="634"/>
      <c r="D131" s="637"/>
      <c r="E131" s="27"/>
      <c r="F131" s="27"/>
      <c r="G131" s="29"/>
      <c r="H131" s="633"/>
      <c r="I131" s="634"/>
      <c r="J131" s="634"/>
      <c r="K131" s="637"/>
      <c r="L131" s="1">
        <f t="shared" si="13"/>
        <v>7</v>
      </c>
      <c r="M131" s="1" t="str">
        <f t="shared" si="15"/>
        <v>Yes</v>
      </c>
      <c r="N131" s="1" t="str">
        <f t="shared" si="14"/>
        <v/>
      </c>
    </row>
    <row r="132" spans="1:14" ht="15" customHeight="1" x14ac:dyDescent="0.2">
      <c r="A132" s="633"/>
      <c r="B132" s="634"/>
      <c r="C132" s="634"/>
      <c r="D132" s="637"/>
      <c r="E132" s="27"/>
      <c r="F132" s="27"/>
      <c r="G132" s="29"/>
      <c r="H132" s="633"/>
      <c r="I132" s="634"/>
      <c r="J132" s="634"/>
      <c r="K132" s="637"/>
      <c r="L132" s="1">
        <f t="shared" si="13"/>
        <v>7</v>
      </c>
      <c r="M132" s="1" t="str">
        <f t="shared" si="15"/>
        <v>Yes</v>
      </c>
      <c r="N132" s="1" t="str">
        <f t="shared" si="14"/>
        <v/>
      </c>
    </row>
    <row r="133" spans="1:14" ht="15" customHeight="1" x14ac:dyDescent="0.2">
      <c r="A133" s="633"/>
      <c r="B133" s="634"/>
      <c r="C133" s="634"/>
      <c r="D133" s="637"/>
      <c r="E133" s="27"/>
      <c r="F133" s="27"/>
      <c r="G133" s="29"/>
      <c r="H133" s="633"/>
      <c r="I133" s="634"/>
      <c r="J133" s="634"/>
      <c r="K133" s="637"/>
      <c r="L133" s="1">
        <f t="shared" si="13"/>
        <v>7</v>
      </c>
      <c r="M133" s="1" t="str">
        <f t="shared" si="15"/>
        <v>Yes</v>
      </c>
      <c r="N133" s="1" t="str">
        <f t="shared" si="14"/>
        <v/>
      </c>
    </row>
    <row r="134" spans="1:14" ht="15" customHeight="1" x14ac:dyDescent="0.2">
      <c r="A134" s="633"/>
      <c r="B134" s="634"/>
      <c r="C134" s="634"/>
      <c r="D134" s="637"/>
      <c r="E134" s="27"/>
      <c r="F134" s="27"/>
      <c r="G134" s="29"/>
      <c r="H134" s="633"/>
      <c r="I134" s="634"/>
      <c r="J134" s="634"/>
      <c r="K134" s="637"/>
      <c r="L134" s="1">
        <f t="shared" si="13"/>
        <v>7</v>
      </c>
      <c r="M134" s="1" t="str">
        <f t="shared" si="15"/>
        <v>Yes</v>
      </c>
      <c r="N134" s="1" t="str">
        <f t="shared" si="14"/>
        <v/>
      </c>
    </row>
    <row r="135" spans="1:14" ht="15" customHeight="1" x14ac:dyDescent="0.2">
      <c r="A135" s="633"/>
      <c r="B135" s="634"/>
      <c r="C135" s="634"/>
      <c r="D135" s="637"/>
      <c r="E135" s="27"/>
      <c r="F135" s="27"/>
      <c r="G135" s="29"/>
      <c r="H135" s="633"/>
      <c r="I135" s="634"/>
      <c r="J135" s="634"/>
      <c r="K135" s="637"/>
      <c r="L135" s="1">
        <f t="shared" si="13"/>
        <v>7</v>
      </c>
      <c r="M135" s="1" t="str">
        <f t="shared" si="15"/>
        <v>Yes</v>
      </c>
      <c r="N135" s="1" t="str">
        <f t="shared" si="14"/>
        <v/>
      </c>
    </row>
    <row r="136" spans="1:14" ht="15" customHeight="1" x14ac:dyDescent="0.2">
      <c r="A136" s="633"/>
      <c r="B136" s="634"/>
      <c r="C136" s="634"/>
      <c r="D136" s="637"/>
      <c r="E136" s="27"/>
      <c r="F136" s="27"/>
      <c r="G136" s="29"/>
      <c r="H136" s="633"/>
      <c r="I136" s="634"/>
      <c r="J136" s="634"/>
      <c r="K136" s="637"/>
      <c r="L136" s="1">
        <f t="shared" si="13"/>
        <v>7</v>
      </c>
      <c r="M136" s="1" t="str">
        <f t="shared" si="15"/>
        <v>Yes</v>
      </c>
      <c r="N136" s="1" t="str">
        <f t="shared" si="14"/>
        <v/>
      </c>
    </row>
    <row r="137" spans="1:14" ht="15" customHeight="1" x14ac:dyDescent="0.2">
      <c r="A137" s="633"/>
      <c r="B137" s="634"/>
      <c r="C137" s="634"/>
      <c r="D137" s="637"/>
      <c r="E137" s="27"/>
      <c r="F137" s="27"/>
      <c r="G137" s="29"/>
      <c r="H137" s="633"/>
      <c r="I137" s="634"/>
      <c r="J137" s="634"/>
      <c r="K137" s="637"/>
      <c r="L137" s="1">
        <f t="shared" si="13"/>
        <v>7</v>
      </c>
      <c r="M137" s="1" t="str">
        <f t="shared" si="15"/>
        <v>Yes</v>
      </c>
      <c r="N137" s="1" t="str">
        <f t="shared" si="14"/>
        <v/>
      </c>
    </row>
    <row r="138" spans="1:14" ht="15" customHeight="1" x14ac:dyDescent="0.2">
      <c r="A138" s="633"/>
      <c r="B138" s="634"/>
      <c r="C138" s="634"/>
      <c r="D138" s="637"/>
      <c r="E138" s="27"/>
      <c r="F138" s="27"/>
      <c r="G138" s="29"/>
      <c r="H138" s="633"/>
      <c r="I138" s="634"/>
      <c r="J138" s="634"/>
      <c r="K138" s="637"/>
      <c r="L138" s="1">
        <f t="shared" si="13"/>
        <v>7</v>
      </c>
      <c r="M138" s="1" t="str">
        <f t="shared" si="15"/>
        <v>Yes</v>
      </c>
      <c r="N138" s="1" t="str">
        <f t="shared" si="14"/>
        <v/>
      </c>
    </row>
    <row r="139" spans="1:14" ht="15" customHeight="1" x14ac:dyDescent="0.2">
      <c r="A139" s="633"/>
      <c r="B139" s="634"/>
      <c r="C139" s="634"/>
      <c r="D139" s="637"/>
      <c r="E139" s="27"/>
      <c r="F139" s="27"/>
      <c r="G139" s="29"/>
      <c r="H139" s="633"/>
      <c r="I139" s="634"/>
      <c r="J139" s="634"/>
      <c r="K139" s="637"/>
      <c r="L139" s="1">
        <f t="shared" si="13"/>
        <v>7</v>
      </c>
      <c r="M139" s="1" t="str">
        <f t="shared" si="15"/>
        <v>Yes</v>
      </c>
      <c r="N139" s="1" t="str">
        <f t="shared" si="14"/>
        <v/>
      </c>
    </row>
    <row r="140" spans="1:14" ht="15" customHeight="1" x14ac:dyDescent="0.2">
      <c r="A140" s="633"/>
      <c r="B140" s="634"/>
      <c r="C140" s="634"/>
      <c r="D140" s="637"/>
      <c r="E140" s="27"/>
      <c r="F140" s="27"/>
      <c r="G140" s="29"/>
      <c r="H140" s="633"/>
      <c r="I140" s="634"/>
      <c r="J140" s="634"/>
      <c r="K140" s="637"/>
      <c r="L140" s="1">
        <f t="shared" si="13"/>
        <v>7</v>
      </c>
      <c r="M140" s="1" t="str">
        <f t="shared" si="15"/>
        <v>Yes</v>
      </c>
      <c r="N140" s="1" t="str">
        <f t="shared" si="14"/>
        <v/>
      </c>
    </row>
    <row r="141" spans="1:14" ht="15" customHeight="1" x14ac:dyDescent="0.2">
      <c r="A141" s="751" t="s">
        <v>96</v>
      </c>
      <c r="B141" s="645"/>
      <c r="C141" s="645"/>
      <c r="D141" s="645"/>
      <c r="E141" s="645"/>
      <c r="F141" s="646"/>
      <c r="G141" s="647">
        <f>SUM(G116:G140)</f>
        <v>0</v>
      </c>
      <c r="H141" s="648"/>
      <c r="I141" s="648"/>
      <c r="J141" s="648"/>
      <c r="K141" s="752"/>
      <c r="M141" s="1">
        <f>COUNTIF(M116:M140,"Yes")</f>
        <v>25</v>
      </c>
    </row>
    <row r="142" spans="1:14" ht="15" customHeight="1" x14ac:dyDescent="0.2">
      <c r="A142" s="747"/>
      <c r="B142" s="673"/>
      <c r="C142" s="673"/>
      <c r="D142" s="673"/>
      <c r="E142" s="673"/>
      <c r="F142" s="673"/>
      <c r="G142" s="673"/>
      <c r="H142" s="673"/>
      <c r="I142" s="673"/>
      <c r="J142" s="673"/>
      <c r="K142" s="748"/>
    </row>
    <row r="143" spans="1:14" ht="18" customHeight="1" x14ac:dyDescent="0.2">
      <c r="A143" s="749" t="s">
        <v>97</v>
      </c>
      <c r="B143" s="651"/>
      <c r="C143" s="651"/>
      <c r="D143" s="651"/>
      <c r="E143" s="651"/>
      <c r="F143" s="651"/>
      <c r="G143" s="651"/>
      <c r="H143" s="651"/>
      <c r="I143" s="651"/>
      <c r="J143" s="651"/>
      <c r="K143" s="750"/>
    </row>
    <row r="144" spans="1:14" ht="18" customHeight="1" x14ac:dyDescent="0.2">
      <c r="A144" s="749" t="s">
        <v>478</v>
      </c>
      <c r="B144" s="651"/>
      <c r="C144" s="651"/>
      <c r="D144" s="651"/>
      <c r="E144" s="651"/>
      <c r="F144" s="651"/>
      <c r="G144" s="651"/>
      <c r="H144" s="651"/>
      <c r="I144" s="651"/>
      <c r="J144" s="651"/>
      <c r="K144" s="750"/>
    </row>
    <row r="145" spans="1:14" ht="15" customHeight="1" x14ac:dyDescent="0.2">
      <c r="A145" s="666" t="s">
        <v>49</v>
      </c>
      <c r="B145" s="654"/>
      <c r="C145" s="654"/>
      <c r="D145" s="655"/>
      <c r="E145" s="662" t="s">
        <v>43</v>
      </c>
      <c r="F145" s="662" t="s">
        <v>118</v>
      </c>
      <c r="G145" s="665" t="s">
        <v>104</v>
      </c>
      <c r="H145" s="666" t="s">
        <v>53</v>
      </c>
      <c r="I145" s="654"/>
      <c r="J145" s="654"/>
      <c r="K145" s="655"/>
    </row>
    <row r="146" spans="1:14" ht="15" customHeight="1" x14ac:dyDescent="0.2">
      <c r="A146" s="668"/>
      <c r="B146" s="657"/>
      <c r="C146" s="657"/>
      <c r="D146" s="658"/>
      <c r="E146" s="663"/>
      <c r="F146" s="663"/>
      <c r="G146" s="663"/>
      <c r="H146" s="668"/>
      <c r="I146" s="657"/>
      <c r="J146" s="657"/>
      <c r="K146" s="658"/>
    </row>
    <row r="147" spans="1:14" ht="15" customHeight="1" x14ac:dyDescent="0.2">
      <c r="A147" s="668"/>
      <c r="B147" s="657"/>
      <c r="C147" s="657"/>
      <c r="D147" s="658"/>
      <c r="E147" s="663"/>
      <c r="F147" s="663"/>
      <c r="G147" s="663"/>
      <c r="H147" s="668"/>
      <c r="I147" s="657"/>
      <c r="J147" s="657"/>
      <c r="K147" s="658"/>
    </row>
    <row r="148" spans="1:14" ht="15" customHeight="1" x14ac:dyDescent="0.2">
      <c r="A148" s="668"/>
      <c r="B148" s="657"/>
      <c r="C148" s="657"/>
      <c r="D148" s="658"/>
      <c r="E148" s="663"/>
      <c r="F148" s="663"/>
      <c r="G148" s="663"/>
      <c r="H148" s="668"/>
      <c r="I148" s="657"/>
      <c r="J148" s="657"/>
      <c r="K148" s="658"/>
    </row>
    <row r="149" spans="1:14" ht="15" customHeight="1" x14ac:dyDescent="0.2">
      <c r="A149" s="668"/>
      <c r="B149" s="657"/>
      <c r="C149" s="657"/>
      <c r="D149" s="658"/>
      <c r="E149" s="663"/>
      <c r="F149" s="663"/>
      <c r="G149" s="663"/>
      <c r="H149" s="668"/>
      <c r="I149" s="657"/>
      <c r="J149" s="657"/>
      <c r="K149" s="658"/>
    </row>
    <row r="150" spans="1:14" ht="14.25" customHeight="1" x14ac:dyDescent="0.2">
      <c r="A150" s="670"/>
      <c r="B150" s="660"/>
      <c r="C150" s="660"/>
      <c r="D150" s="661"/>
      <c r="E150" s="664"/>
      <c r="F150" s="664"/>
      <c r="G150" s="664"/>
      <c r="H150" s="670"/>
      <c r="I150" s="660"/>
      <c r="J150" s="660"/>
      <c r="K150" s="661"/>
    </row>
    <row r="151" spans="1:14" ht="15" customHeight="1" x14ac:dyDescent="0.2">
      <c r="A151" s="633"/>
      <c r="B151" s="634"/>
      <c r="C151" s="634"/>
      <c r="D151" s="637"/>
      <c r="E151" s="27"/>
      <c r="F151" s="27"/>
      <c r="G151" s="29"/>
      <c r="H151" s="633"/>
      <c r="I151" s="634"/>
      <c r="J151" s="634"/>
      <c r="K151" s="637"/>
      <c r="L151" s="1">
        <f t="shared" ref="L151:L175" si="16">COUNTBLANK(E151:K151)</f>
        <v>7</v>
      </c>
      <c r="M151" s="1" t="str">
        <f>IF(AND(A151&lt;&gt;"",L151&gt;3),"No","Yes")</f>
        <v>Yes</v>
      </c>
      <c r="N151" s="1" t="str">
        <f t="shared" ref="N151:N175" si="17">CONCATENATE(E151,F151)</f>
        <v/>
      </c>
    </row>
    <row r="152" spans="1:14" ht="15" customHeight="1" x14ac:dyDescent="0.2">
      <c r="A152" s="633"/>
      <c r="B152" s="634"/>
      <c r="C152" s="634"/>
      <c r="D152" s="637"/>
      <c r="E152" s="27"/>
      <c r="F152" s="27"/>
      <c r="G152" s="29"/>
      <c r="H152" s="633"/>
      <c r="I152" s="634"/>
      <c r="J152" s="634"/>
      <c r="K152" s="637"/>
      <c r="L152" s="1">
        <f t="shared" si="16"/>
        <v>7</v>
      </c>
      <c r="M152" s="1" t="str">
        <f t="shared" ref="M152:M175" si="18">IF(AND(A152&lt;&gt;"",L152&gt;3),"No","Yes")</f>
        <v>Yes</v>
      </c>
      <c r="N152" s="1" t="str">
        <f t="shared" si="17"/>
        <v/>
      </c>
    </row>
    <row r="153" spans="1:14" ht="15" customHeight="1" x14ac:dyDescent="0.2">
      <c r="A153" s="633"/>
      <c r="B153" s="634"/>
      <c r="C153" s="634"/>
      <c r="D153" s="637"/>
      <c r="E153" s="27"/>
      <c r="F153" s="27"/>
      <c r="G153" s="29"/>
      <c r="H153" s="633"/>
      <c r="I153" s="634"/>
      <c r="J153" s="634"/>
      <c r="K153" s="637"/>
      <c r="L153" s="1">
        <f t="shared" si="16"/>
        <v>7</v>
      </c>
      <c r="M153" s="1" t="str">
        <f t="shared" si="18"/>
        <v>Yes</v>
      </c>
      <c r="N153" s="1" t="str">
        <f t="shared" si="17"/>
        <v/>
      </c>
    </row>
    <row r="154" spans="1:14" ht="15" customHeight="1" x14ac:dyDescent="0.2">
      <c r="A154" s="633"/>
      <c r="B154" s="634"/>
      <c r="C154" s="634"/>
      <c r="D154" s="637"/>
      <c r="E154" s="27"/>
      <c r="F154" s="27"/>
      <c r="G154" s="29"/>
      <c r="H154" s="633"/>
      <c r="I154" s="634"/>
      <c r="J154" s="634"/>
      <c r="K154" s="637"/>
      <c r="L154" s="1">
        <f t="shared" si="16"/>
        <v>7</v>
      </c>
      <c r="M154" s="1" t="str">
        <f t="shared" si="18"/>
        <v>Yes</v>
      </c>
      <c r="N154" s="1" t="str">
        <f t="shared" si="17"/>
        <v/>
      </c>
    </row>
    <row r="155" spans="1:14" ht="15" customHeight="1" x14ac:dyDescent="0.2">
      <c r="A155" s="633"/>
      <c r="B155" s="634"/>
      <c r="C155" s="634"/>
      <c r="D155" s="637"/>
      <c r="E155" s="27"/>
      <c r="F155" s="27"/>
      <c r="G155" s="29"/>
      <c r="H155" s="633"/>
      <c r="I155" s="634"/>
      <c r="J155" s="634"/>
      <c r="K155" s="637"/>
      <c r="L155" s="1">
        <f t="shared" si="16"/>
        <v>7</v>
      </c>
      <c r="M155" s="1" t="str">
        <f t="shared" si="18"/>
        <v>Yes</v>
      </c>
      <c r="N155" s="1" t="str">
        <f t="shared" si="17"/>
        <v/>
      </c>
    </row>
    <row r="156" spans="1:14" ht="15" customHeight="1" x14ac:dyDescent="0.2">
      <c r="A156" s="633"/>
      <c r="B156" s="634"/>
      <c r="C156" s="634"/>
      <c r="D156" s="637"/>
      <c r="E156" s="27"/>
      <c r="F156" s="27"/>
      <c r="G156" s="29"/>
      <c r="H156" s="633"/>
      <c r="I156" s="634"/>
      <c r="J156" s="634"/>
      <c r="K156" s="637"/>
      <c r="L156" s="1">
        <f t="shared" si="16"/>
        <v>7</v>
      </c>
      <c r="M156" s="1" t="str">
        <f t="shared" si="18"/>
        <v>Yes</v>
      </c>
      <c r="N156" s="1" t="str">
        <f t="shared" si="17"/>
        <v/>
      </c>
    </row>
    <row r="157" spans="1:14" ht="15" customHeight="1" x14ac:dyDescent="0.2">
      <c r="A157" s="633"/>
      <c r="B157" s="634"/>
      <c r="C157" s="634"/>
      <c r="D157" s="637"/>
      <c r="E157" s="27"/>
      <c r="F157" s="27"/>
      <c r="G157" s="29"/>
      <c r="H157" s="633"/>
      <c r="I157" s="634"/>
      <c r="J157" s="634"/>
      <c r="K157" s="637"/>
      <c r="L157" s="1">
        <f t="shared" si="16"/>
        <v>7</v>
      </c>
      <c r="M157" s="1" t="str">
        <f t="shared" si="18"/>
        <v>Yes</v>
      </c>
      <c r="N157" s="1" t="str">
        <f t="shared" si="17"/>
        <v/>
      </c>
    </row>
    <row r="158" spans="1:14" ht="15" customHeight="1" x14ac:dyDescent="0.2">
      <c r="A158" s="633"/>
      <c r="B158" s="634"/>
      <c r="C158" s="634"/>
      <c r="D158" s="637"/>
      <c r="E158" s="27"/>
      <c r="F158" s="27"/>
      <c r="G158" s="29"/>
      <c r="H158" s="633"/>
      <c r="I158" s="634"/>
      <c r="J158" s="634"/>
      <c r="K158" s="637"/>
      <c r="L158" s="1">
        <f t="shared" si="16"/>
        <v>7</v>
      </c>
      <c r="M158" s="1" t="str">
        <f t="shared" si="18"/>
        <v>Yes</v>
      </c>
      <c r="N158" s="1" t="str">
        <f t="shared" si="17"/>
        <v/>
      </c>
    </row>
    <row r="159" spans="1:14" ht="15" customHeight="1" x14ac:dyDescent="0.2">
      <c r="A159" s="633"/>
      <c r="B159" s="634"/>
      <c r="C159" s="634"/>
      <c r="D159" s="637"/>
      <c r="E159" s="27"/>
      <c r="F159" s="27"/>
      <c r="G159" s="29"/>
      <c r="H159" s="633"/>
      <c r="I159" s="634"/>
      <c r="J159" s="634"/>
      <c r="K159" s="637"/>
      <c r="L159" s="1">
        <f t="shared" si="16"/>
        <v>7</v>
      </c>
      <c r="M159" s="1" t="str">
        <f t="shared" si="18"/>
        <v>Yes</v>
      </c>
      <c r="N159" s="1" t="str">
        <f t="shared" si="17"/>
        <v/>
      </c>
    </row>
    <row r="160" spans="1:14" ht="15" customHeight="1" x14ac:dyDescent="0.2">
      <c r="A160" s="633"/>
      <c r="B160" s="634"/>
      <c r="C160" s="634"/>
      <c r="D160" s="637"/>
      <c r="E160" s="27"/>
      <c r="F160" s="27"/>
      <c r="G160" s="29"/>
      <c r="H160" s="633"/>
      <c r="I160" s="634"/>
      <c r="J160" s="634"/>
      <c r="K160" s="637"/>
      <c r="L160" s="1">
        <f t="shared" si="16"/>
        <v>7</v>
      </c>
      <c r="M160" s="1" t="str">
        <f t="shared" si="18"/>
        <v>Yes</v>
      </c>
      <c r="N160" s="1" t="str">
        <f t="shared" si="17"/>
        <v/>
      </c>
    </row>
    <row r="161" spans="1:14" ht="15" customHeight="1" x14ac:dyDescent="0.2">
      <c r="A161" s="633"/>
      <c r="B161" s="634"/>
      <c r="C161" s="634"/>
      <c r="D161" s="637"/>
      <c r="E161" s="27"/>
      <c r="F161" s="27"/>
      <c r="G161" s="29"/>
      <c r="H161" s="633"/>
      <c r="I161" s="634"/>
      <c r="J161" s="634"/>
      <c r="K161" s="637"/>
      <c r="L161" s="1">
        <f t="shared" si="16"/>
        <v>7</v>
      </c>
      <c r="M161" s="1" t="str">
        <f t="shared" si="18"/>
        <v>Yes</v>
      </c>
      <c r="N161" s="1" t="str">
        <f t="shared" si="17"/>
        <v/>
      </c>
    </row>
    <row r="162" spans="1:14" ht="15" customHeight="1" x14ac:dyDescent="0.2">
      <c r="A162" s="633"/>
      <c r="B162" s="634"/>
      <c r="C162" s="634"/>
      <c r="D162" s="637"/>
      <c r="E162" s="27"/>
      <c r="F162" s="27"/>
      <c r="G162" s="29"/>
      <c r="H162" s="633"/>
      <c r="I162" s="634"/>
      <c r="J162" s="634"/>
      <c r="K162" s="637"/>
      <c r="L162" s="1">
        <f t="shared" si="16"/>
        <v>7</v>
      </c>
      <c r="M162" s="1" t="str">
        <f t="shared" si="18"/>
        <v>Yes</v>
      </c>
      <c r="N162" s="1" t="str">
        <f t="shared" si="17"/>
        <v/>
      </c>
    </row>
    <row r="163" spans="1:14" ht="15" customHeight="1" x14ac:dyDescent="0.2">
      <c r="A163" s="633"/>
      <c r="B163" s="634"/>
      <c r="C163" s="634"/>
      <c r="D163" s="637"/>
      <c r="E163" s="27"/>
      <c r="F163" s="27"/>
      <c r="G163" s="29"/>
      <c r="H163" s="633"/>
      <c r="I163" s="634"/>
      <c r="J163" s="634"/>
      <c r="K163" s="637"/>
      <c r="L163" s="1">
        <f t="shared" si="16"/>
        <v>7</v>
      </c>
      <c r="M163" s="1" t="str">
        <f t="shared" si="18"/>
        <v>Yes</v>
      </c>
      <c r="N163" s="1" t="str">
        <f t="shared" si="17"/>
        <v/>
      </c>
    </row>
    <row r="164" spans="1:14" ht="15" customHeight="1" x14ac:dyDescent="0.2">
      <c r="A164" s="633"/>
      <c r="B164" s="634"/>
      <c r="C164" s="634"/>
      <c r="D164" s="637"/>
      <c r="E164" s="27"/>
      <c r="F164" s="27"/>
      <c r="G164" s="29"/>
      <c r="H164" s="633"/>
      <c r="I164" s="634"/>
      <c r="J164" s="634"/>
      <c r="K164" s="637"/>
      <c r="L164" s="1">
        <f t="shared" si="16"/>
        <v>7</v>
      </c>
      <c r="M164" s="1" t="str">
        <f t="shared" si="18"/>
        <v>Yes</v>
      </c>
      <c r="N164" s="1" t="str">
        <f t="shared" si="17"/>
        <v/>
      </c>
    </row>
    <row r="165" spans="1:14" ht="15" customHeight="1" x14ac:dyDescent="0.2">
      <c r="A165" s="633"/>
      <c r="B165" s="634"/>
      <c r="C165" s="634"/>
      <c r="D165" s="637"/>
      <c r="E165" s="27"/>
      <c r="F165" s="27"/>
      <c r="G165" s="29"/>
      <c r="H165" s="633"/>
      <c r="I165" s="634"/>
      <c r="J165" s="634"/>
      <c r="K165" s="637"/>
      <c r="L165" s="1">
        <f t="shared" si="16"/>
        <v>7</v>
      </c>
      <c r="M165" s="1" t="str">
        <f t="shared" si="18"/>
        <v>Yes</v>
      </c>
      <c r="N165" s="1" t="str">
        <f t="shared" si="17"/>
        <v/>
      </c>
    </row>
    <row r="166" spans="1:14" ht="15" customHeight="1" x14ac:dyDescent="0.2">
      <c r="A166" s="633"/>
      <c r="B166" s="634"/>
      <c r="C166" s="634"/>
      <c r="D166" s="637"/>
      <c r="E166" s="27"/>
      <c r="F166" s="27"/>
      <c r="G166" s="29"/>
      <c r="H166" s="633"/>
      <c r="I166" s="634"/>
      <c r="J166" s="634"/>
      <c r="K166" s="637"/>
      <c r="L166" s="1">
        <f t="shared" si="16"/>
        <v>7</v>
      </c>
      <c r="M166" s="1" t="str">
        <f t="shared" si="18"/>
        <v>Yes</v>
      </c>
      <c r="N166" s="1" t="str">
        <f t="shared" si="17"/>
        <v/>
      </c>
    </row>
    <row r="167" spans="1:14" ht="15" customHeight="1" x14ac:dyDescent="0.2">
      <c r="A167" s="633"/>
      <c r="B167" s="634"/>
      <c r="C167" s="634"/>
      <c r="D167" s="637"/>
      <c r="E167" s="27"/>
      <c r="F167" s="27"/>
      <c r="G167" s="29"/>
      <c r="H167" s="633"/>
      <c r="I167" s="634"/>
      <c r="J167" s="634"/>
      <c r="K167" s="637"/>
      <c r="L167" s="1">
        <f t="shared" si="16"/>
        <v>7</v>
      </c>
      <c r="M167" s="1" t="str">
        <f t="shared" si="18"/>
        <v>Yes</v>
      </c>
      <c r="N167" s="1" t="str">
        <f t="shared" si="17"/>
        <v/>
      </c>
    </row>
    <row r="168" spans="1:14" ht="15" customHeight="1" x14ac:dyDescent="0.2">
      <c r="A168" s="633"/>
      <c r="B168" s="634"/>
      <c r="C168" s="634"/>
      <c r="D168" s="637"/>
      <c r="E168" s="27"/>
      <c r="F168" s="27"/>
      <c r="G168" s="29"/>
      <c r="H168" s="633"/>
      <c r="I168" s="634"/>
      <c r="J168" s="634"/>
      <c r="K168" s="637"/>
      <c r="L168" s="1">
        <f t="shared" si="16"/>
        <v>7</v>
      </c>
      <c r="M168" s="1" t="str">
        <f t="shared" si="18"/>
        <v>Yes</v>
      </c>
      <c r="N168" s="1" t="str">
        <f t="shared" si="17"/>
        <v/>
      </c>
    </row>
    <row r="169" spans="1:14" ht="15" customHeight="1" x14ac:dyDescent="0.2">
      <c r="A169" s="633"/>
      <c r="B169" s="634"/>
      <c r="C169" s="634"/>
      <c r="D169" s="637"/>
      <c r="E169" s="27"/>
      <c r="F169" s="27"/>
      <c r="G169" s="29"/>
      <c r="H169" s="633"/>
      <c r="I169" s="634"/>
      <c r="J169" s="634"/>
      <c r="K169" s="637"/>
      <c r="L169" s="1">
        <f t="shared" si="16"/>
        <v>7</v>
      </c>
      <c r="M169" s="1" t="str">
        <f t="shared" si="18"/>
        <v>Yes</v>
      </c>
      <c r="N169" s="1" t="str">
        <f t="shared" si="17"/>
        <v/>
      </c>
    </row>
    <row r="170" spans="1:14" ht="15" customHeight="1" x14ac:dyDescent="0.2">
      <c r="A170" s="633"/>
      <c r="B170" s="634"/>
      <c r="C170" s="634"/>
      <c r="D170" s="637"/>
      <c r="E170" s="27"/>
      <c r="F170" s="27"/>
      <c r="G170" s="29"/>
      <c r="H170" s="633"/>
      <c r="I170" s="634"/>
      <c r="J170" s="634"/>
      <c r="K170" s="637"/>
      <c r="L170" s="1">
        <f t="shared" si="16"/>
        <v>7</v>
      </c>
      <c r="M170" s="1" t="str">
        <f t="shared" si="18"/>
        <v>Yes</v>
      </c>
      <c r="N170" s="1" t="str">
        <f t="shared" si="17"/>
        <v/>
      </c>
    </row>
    <row r="171" spans="1:14" ht="15" customHeight="1" x14ac:dyDescent="0.2">
      <c r="A171" s="633"/>
      <c r="B171" s="634"/>
      <c r="C171" s="634"/>
      <c r="D171" s="637"/>
      <c r="E171" s="27"/>
      <c r="F171" s="27"/>
      <c r="G171" s="29"/>
      <c r="H171" s="633"/>
      <c r="I171" s="634"/>
      <c r="J171" s="634"/>
      <c r="K171" s="637"/>
      <c r="L171" s="1">
        <f t="shared" si="16"/>
        <v>7</v>
      </c>
      <c r="M171" s="1" t="str">
        <f t="shared" si="18"/>
        <v>Yes</v>
      </c>
      <c r="N171" s="1" t="str">
        <f t="shared" si="17"/>
        <v/>
      </c>
    </row>
    <row r="172" spans="1:14" ht="15" customHeight="1" x14ac:dyDescent="0.2">
      <c r="A172" s="633"/>
      <c r="B172" s="634"/>
      <c r="C172" s="634"/>
      <c r="D172" s="637"/>
      <c r="E172" s="27"/>
      <c r="F172" s="27"/>
      <c r="G172" s="29"/>
      <c r="H172" s="633"/>
      <c r="I172" s="634"/>
      <c r="J172" s="634"/>
      <c r="K172" s="637"/>
      <c r="L172" s="1">
        <f t="shared" si="16"/>
        <v>7</v>
      </c>
      <c r="M172" s="1" t="str">
        <f t="shared" si="18"/>
        <v>Yes</v>
      </c>
      <c r="N172" s="1" t="str">
        <f t="shared" si="17"/>
        <v/>
      </c>
    </row>
    <row r="173" spans="1:14" ht="15" customHeight="1" x14ac:dyDescent="0.2">
      <c r="A173" s="633"/>
      <c r="B173" s="634"/>
      <c r="C173" s="634"/>
      <c r="D173" s="637"/>
      <c r="E173" s="27"/>
      <c r="F173" s="27"/>
      <c r="G173" s="29"/>
      <c r="H173" s="633"/>
      <c r="I173" s="634"/>
      <c r="J173" s="634"/>
      <c r="K173" s="637"/>
      <c r="L173" s="1">
        <f t="shared" si="16"/>
        <v>7</v>
      </c>
      <c r="M173" s="1" t="str">
        <f t="shared" si="18"/>
        <v>Yes</v>
      </c>
      <c r="N173" s="1" t="str">
        <f t="shared" si="17"/>
        <v/>
      </c>
    </row>
    <row r="174" spans="1:14" ht="15" customHeight="1" x14ac:dyDescent="0.2">
      <c r="A174" s="633"/>
      <c r="B174" s="634"/>
      <c r="C174" s="634"/>
      <c r="D174" s="637"/>
      <c r="E174" s="27"/>
      <c r="F174" s="27"/>
      <c r="G174" s="29"/>
      <c r="H174" s="633"/>
      <c r="I174" s="634"/>
      <c r="J174" s="634"/>
      <c r="K174" s="637"/>
      <c r="L174" s="1">
        <f t="shared" si="16"/>
        <v>7</v>
      </c>
      <c r="M174" s="1" t="str">
        <f t="shared" si="18"/>
        <v>Yes</v>
      </c>
      <c r="N174" s="1" t="str">
        <f t="shared" si="17"/>
        <v/>
      </c>
    </row>
    <row r="175" spans="1:14" ht="15" customHeight="1" x14ac:dyDescent="0.2">
      <c r="A175" s="633"/>
      <c r="B175" s="634"/>
      <c r="C175" s="634"/>
      <c r="D175" s="637"/>
      <c r="E175" s="27"/>
      <c r="F175" s="27"/>
      <c r="G175" s="29"/>
      <c r="H175" s="633"/>
      <c r="I175" s="634"/>
      <c r="J175" s="634"/>
      <c r="K175" s="637"/>
      <c r="L175" s="1">
        <f t="shared" si="16"/>
        <v>7</v>
      </c>
      <c r="M175" s="1" t="str">
        <f t="shared" si="18"/>
        <v>Yes</v>
      </c>
      <c r="N175" s="1" t="str">
        <f t="shared" si="17"/>
        <v/>
      </c>
    </row>
    <row r="176" spans="1:14" ht="15" customHeight="1" x14ac:dyDescent="0.2">
      <c r="A176" s="751" t="s">
        <v>98</v>
      </c>
      <c r="B176" s="645"/>
      <c r="C176" s="645"/>
      <c r="D176" s="645"/>
      <c r="E176" s="645"/>
      <c r="F176" s="646"/>
      <c r="G176" s="647">
        <f>SUM(G151:G175)</f>
        <v>0</v>
      </c>
      <c r="H176" s="648"/>
      <c r="I176" s="648"/>
      <c r="J176" s="648"/>
      <c r="K176" s="752"/>
      <c r="M176" s="1">
        <f>COUNTIF(M151:M175,"Yes")</f>
        <v>25</v>
      </c>
    </row>
    <row r="177" spans="1:14" ht="15" customHeight="1" x14ac:dyDescent="0.2">
      <c r="A177" s="747"/>
      <c r="B177" s="673"/>
      <c r="C177" s="673"/>
      <c r="D177" s="673"/>
      <c r="E177" s="673"/>
      <c r="F177" s="673"/>
      <c r="G177" s="673"/>
      <c r="H177" s="673"/>
      <c r="I177" s="673"/>
      <c r="J177" s="673"/>
      <c r="K177" s="748"/>
    </row>
    <row r="178" spans="1:14" ht="34.5" customHeight="1" x14ac:dyDescent="0.2">
      <c r="A178" s="749" t="s">
        <v>477</v>
      </c>
      <c r="B178" s="651"/>
      <c r="C178" s="651"/>
      <c r="D178" s="651"/>
      <c r="E178" s="651"/>
      <c r="F178" s="651"/>
      <c r="G178" s="651"/>
      <c r="H178" s="651"/>
      <c r="I178" s="651"/>
      <c r="J178" s="651"/>
      <c r="K178" s="750"/>
    </row>
    <row r="179" spans="1:14" ht="18" customHeight="1" x14ac:dyDescent="0.2">
      <c r="A179" s="749" t="s">
        <v>478</v>
      </c>
      <c r="B179" s="651"/>
      <c r="C179" s="651"/>
      <c r="D179" s="651"/>
      <c r="E179" s="651"/>
      <c r="F179" s="651"/>
      <c r="G179" s="651"/>
      <c r="H179" s="651"/>
      <c r="I179" s="651"/>
      <c r="J179" s="651"/>
      <c r="K179" s="750"/>
    </row>
    <row r="180" spans="1:14" ht="15" customHeight="1" x14ac:dyDescent="0.2">
      <c r="A180" s="666" t="s">
        <v>49</v>
      </c>
      <c r="B180" s="654"/>
      <c r="C180" s="654"/>
      <c r="D180" s="655"/>
      <c r="E180" s="662" t="s">
        <v>43</v>
      </c>
      <c r="F180" s="662" t="s">
        <v>118</v>
      </c>
      <c r="G180" s="665" t="s">
        <v>104</v>
      </c>
      <c r="H180" s="666" t="s">
        <v>53</v>
      </c>
      <c r="I180" s="654"/>
      <c r="J180" s="654"/>
      <c r="K180" s="655"/>
    </row>
    <row r="181" spans="1:14" ht="15" customHeight="1" x14ac:dyDescent="0.2">
      <c r="A181" s="668"/>
      <c r="B181" s="657"/>
      <c r="C181" s="657"/>
      <c r="D181" s="658"/>
      <c r="E181" s="663"/>
      <c r="F181" s="663"/>
      <c r="G181" s="663"/>
      <c r="H181" s="668"/>
      <c r="I181" s="657"/>
      <c r="J181" s="657"/>
      <c r="K181" s="658"/>
    </row>
    <row r="182" spans="1:14" ht="15" customHeight="1" x14ac:dyDescent="0.2">
      <c r="A182" s="668"/>
      <c r="B182" s="657"/>
      <c r="C182" s="657"/>
      <c r="D182" s="658"/>
      <c r="E182" s="663"/>
      <c r="F182" s="663"/>
      <c r="G182" s="663"/>
      <c r="H182" s="668"/>
      <c r="I182" s="657"/>
      <c r="J182" s="657"/>
      <c r="K182" s="658"/>
    </row>
    <row r="183" spans="1:14" ht="15" customHeight="1" x14ac:dyDescent="0.2">
      <c r="A183" s="668"/>
      <c r="B183" s="657"/>
      <c r="C183" s="657"/>
      <c r="D183" s="658"/>
      <c r="E183" s="663"/>
      <c r="F183" s="663"/>
      <c r="G183" s="663"/>
      <c r="H183" s="668"/>
      <c r="I183" s="657"/>
      <c r="J183" s="657"/>
      <c r="K183" s="658"/>
    </row>
    <row r="184" spans="1:14" ht="15" customHeight="1" x14ac:dyDescent="0.2">
      <c r="A184" s="668"/>
      <c r="B184" s="657"/>
      <c r="C184" s="657"/>
      <c r="D184" s="658"/>
      <c r="E184" s="663"/>
      <c r="F184" s="663"/>
      <c r="G184" s="663"/>
      <c r="H184" s="668"/>
      <c r="I184" s="657"/>
      <c r="J184" s="657"/>
      <c r="K184" s="658"/>
    </row>
    <row r="185" spans="1:14" ht="14.25" customHeight="1" x14ac:dyDescent="0.2">
      <c r="A185" s="670"/>
      <c r="B185" s="660"/>
      <c r="C185" s="660"/>
      <c r="D185" s="661"/>
      <c r="E185" s="664"/>
      <c r="F185" s="664"/>
      <c r="G185" s="664"/>
      <c r="H185" s="670"/>
      <c r="I185" s="660"/>
      <c r="J185" s="660"/>
      <c r="K185" s="661"/>
    </row>
    <row r="186" spans="1:14" ht="15" customHeight="1" x14ac:dyDescent="0.2">
      <c r="A186" s="633"/>
      <c r="B186" s="634"/>
      <c r="C186" s="634"/>
      <c r="D186" s="637"/>
      <c r="E186" s="27"/>
      <c r="F186" s="27"/>
      <c r="G186" s="29"/>
      <c r="H186" s="633"/>
      <c r="I186" s="634"/>
      <c r="J186" s="634"/>
      <c r="K186" s="637"/>
      <c r="L186" s="1">
        <f t="shared" ref="L186:L210" si="19">COUNTBLANK(E186:K186)</f>
        <v>7</v>
      </c>
      <c r="M186" s="1" t="str">
        <f>IF(AND(A186&lt;&gt;"",L186&gt;3),"No","Yes")</f>
        <v>Yes</v>
      </c>
      <c r="N186" s="1" t="str">
        <f t="shared" ref="N186:N210" si="20">CONCATENATE(E186,F186)</f>
        <v/>
      </c>
    </row>
    <row r="187" spans="1:14" ht="15" customHeight="1" x14ac:dyDescent="0.2">
      <c r="A187" s="633"/>
      <c r="B187" s="634"/>
      <c r="C187" s="634"/>
      <c r="D187" s="637"/>
      <c r="E187" s="27"/>
      <c r="F187" s="27"/>
      <c r="G187" s="29"/>
      <c r="H187" s="633"/>
      <c r="I187" s="634"/>
      <c r="J187" s="634"/>
      <c r="K187" s="637"/>
      <c r="L187" s="1">
        <f t="shared" si="19"/>
        <v>7</v>
      </c>
      <c r="M187" s="1" t="str">
        <f t="shared" ref="M187:M210" si="21">IF(AND(A187&lt;&gt;"",L187&gt;3),"No","Yes")</f>
        <v>Yes</v>
      </c>
      <c r="N187" s="1" t="str">
        <f t="shared" si="20"/>
        <v/>
      </c>
    </row>
    <row r="188" spans="1:14" ht="15" customHeight="1" x14ac:dyDescent="0.2">
      <c r="A188" s="633"/>
      <c r="B188" s="634"/>
      <c r="C188" s="634"/>
      <c r="D188" s="637"/>
      <c r="E188" s="27"/>
      <c r="F188" s="27"/>
      <c r="G188" s="29"/>
      <c r="H188" s="633"/>
      <c r="I188" s="634"/>
      <c r="J188" s="634"/>
      <c r="K188" s="637"/>
      <c r="L188" s="1">
        <f t="shared" si="19"/>
        <v>7</v>
      </c>
      <c r="M188" s="1" t="str">
        <f t="shared" si="21"/>
        <v>Yes</v>
      </c>
      <c r="N188" s="1" t="str">
        <f t="shared" si="20"/>
        <v/>
      </c>
    </row>
    <row r="189" spans="1:14" ht="15" customHeight="1" x14ac:dyDescent="0.2">
      <c r="A189" s="633"/>
      <c r="B189" s="634"/>
      <c r="C189" s="634"/>
      <c r="D189" s="637"/>
      <c r="E189" s="27"/>
      <c r="F189" s="27"/>
      <c r="G189" s="29"/>
      <c r="H189" s="633"/>
      <c r="I189" s="634"/>
      <c r="J189" s="634"/>
      <c r="K189" s="637"/>
      <c r="L189" s="1">
        <f t="shared" si="19"/>
        <v>7</v>
      </c>
      <c r="M189" s="1" t="str">
        <f t="shared" si="21"/>
        <v>Yes</v>
      </c>
      <c r="N189" s="1" t="str">
        <f t="shared" si="20"/>
        <v/>
      </c>
    </row>
    <row r="190" spans="1:14" ht="15" customHeight="1" x14ac:dyDescent="0.2">
      <c r="A190" s="633"/>
      <c r="B190" s="634"/>
      <c r="C190" s="634"/>
      <c r="D190" s="637"/>
      <c r="E190" s="27"/>
      <c r="F190" s="27"/>
      <c r="G190" s="29"/>
      <c r="H190" s="633"/>
      <c r="I190" s="634"/>
      <c r="J190" s="634"/>
      <c r="K190" s="637"/>
      <c r="L190" s="1">
        <f t="shared" si="19"/>
        <v>7</v>
      </c>
      <c r="M190" s="1" t="str">
        <f t="shared" si="21"/>
        <v>Yes</v>
      </c>
      <c r="N190" s="1" t="str">
        <f t="shared" si="20"/>
        <v/>
      </c>
    </row>
    <row r="191" spans="1:14" ht="15" customHeight="1" x14ac:dyDescent="0.2">
      <c r="A191" s="633"/>
      <c r="B191" s="634"/>
      <c r="C191" s="634"/>
      <c r="D191" s="637"/>
      <c r="E191" s="27"/>
      <c r="F191" s="27"/>
      <c r="G191" s="29"/>
      <c r="H191" s="633"/>
      <c r="I191" s="634"/>
      <c r="J191" s="634"/>
      <c r="K191" s="637"/>
      <c r="L191" s="1">
        <f t="shared" si="19"/>
        <v>7</v>
      </c>
      <c r="M191" s="1" t="str">
        <f t="shared" si="21"/>
        <v>Yes</v>
      </c>
      <c r="N191" s="1" t="str">
        <f t="shared" si="20"/>
        <v/>
      </c>
    </row>
    <row r="192" spans="1:14" ht="15" customHeight="1" x14ac:dyDescent="0.2">
      <c r="A192" s="633"/>
      <c r="B192" s="634"/>
      <c r="C192" s="634"/>
      <c r="D192" s="637"/>
      <c r="E192" s="27"/>
      <c r="F192" s="27"/>
      <c r="G192" s="29"/>
      <c r="H192" s="633"/>
      <c r="I192" s="634"/>
      <c r="J192" s="634"/>
      <c r="K192" s="637"/>
      <c r="L192" s="1">
        <f t="shared" si="19"/>
        <v>7</v>
      </c>
      <c r="M192" s="1" t="str">
        <f t="shared" si="21"/>
        <v>Yes</v>
      </c>
      <c r="N192" s="1" t="str">
        <f t="shared" si="20"/>
        <v/>
      </c>
    </row>
    <row r="193" spans="1:14" ht="15" customHeight="1" x14ac:dyDescent="0.2">
      <c r="A193" s="633"/>
      <c r="B193" s="634"/>
      <c r="C193" s="634"/>
      <c r="D193" s="637"/>
      <c r="E193" s="27"/>
      <c r="F193" s="27"/>
      <c r="G193" s="29"/>
      <c r="H193" s="633"/>
      <c r="I193" s="634"/>
      <c r="J193" s="634"/>
      <c r="K193" s="637"/>
      <c r="L193" s="1">
        <f t="shared" si="19"/>
        <v>7</v>
      </c>
      <c r="M193" s="1" t="str">
        <f t="shared" si="21"/>
        <v>Yes</v>
      </c>
      <c r="N193" s="1" t="str">
        <f t="shared" si="20"/>
        <v/>
      </c>
    </row>
    <row r="194" spans="1:14" ht="15" customHeight="1" x14ac:dyDescent="0.2">
      <c r="A194" s="633"/>
      <c r="B194" s="634"/>
      <c r="C194" s="634"/>
      <c r="D194" s="637"/>
      <c r="E194" s="27"/>
      <c r="F194" s="27"/>
      <c r="G194" s="29"/>
      <c r="H194" s="633"/>
      <c r="I194" s="634"/>
      <c r="J194" s="634"/>
      <c r="K194" s="637"/>
      <c r="L194" s="1">
        <f t="shared" si="19"/>
        <v>7</v>
      </c>
      <c r="M194" s="1" t="str">
        <f t="shared" si="21"/>
        <v>Yes</v>
      </c>
      <c r="N194" s="1" t="str">
        <f t="shared" si="20"/>
        <v/>
      </c>
    </row>
    <row r="195" spans="1:14" ht="15" customHeight="1" x14ac:dyDescent="0.2">
      <c r="A195" s="633"/>
      <c r="B195" s="634"/>
      <c r="C195" s="634"/>
      <c r="D195" s="637"/>
      <c r="E195" s="27"/>
      <c r="F195" s="27"/>
      <c r="G195" s="29"/>
      <c r="H195" s="633"/>
      <c r="I195" s="634"/>
      <c r="J195" s="634"/>
      <c r="K195" s="637"/>
      <c r="L195" s="1">
        <f t="shared" si="19"/>
        <v>7</v>
      </c>
      <c r="M195" s="1" t="str">
        <f t="shared" si="21"/>
        <v>Yes</v>
      </c>
      <c r="N195" s="1" t="str">
        <f t="shared" si="20"/>
        <v/>
      </c>
    </row>
    <row r="196" spans="1:14" ht="15" customHeight="1" x14ac:dyDescent="0.2">
      <c r="A196" s="633"/>
      <c r="B196" s="634"/>
      <c r="C196" s="634"/>
      <c r="D196" s="637"/>
      <c r="E196" s="27"/>
      <c r="F196" s="27"/>
      <c r="G196" s="29"/>
      <c r="H196" s="633"/>
      <c r="I196" s="634"/>
      <c r="J196" s="634"/>
      <c r="K196" s="637"/>
      <c r="L196" s="1">
        <f t="shared" si="19"/>
        <v>7</v>
      </c>
      <c r="M196" s="1" t="str">
        <f t="shared" si="21"/>
        <v>Yes</v>
      </c>
      <c r="N196" s="1" t="str">
        <f t="shared" si="20"/>
        <v/>
      </c>
    </row>
    <row r="197" spans="1:14" ht="15" customHeight="1" x14ac:dyDescent="0.2">
      <c r="A197" s="633"/>
      <c r="B197" s="634"/>
      <c r="C197" s="634"/>
      <c r="D197" s="637"/>
      <c r="E197" s="27"/>
      <c r="F197" s="27"/>
      <c r="G197" s="29"/>
      <c r="H197" s="633"/>
      <c r="I197" s="634"/>
      <c r="J197" s="634"/>
      <c r="K197" s="637"/>
      <c r="L197" s="1">
        <f t="shared" si="19"/>
        <v>7</v>
      </c>
      <c r="M197" s="1" t="str">
        <f t="shared" si="21"/>
        <v>Yes</v>
      </c>
      <c r="N197" s="1" t="str">
        <f t="shared" si="20"/>
        <v/>
      </c>
    </row>
    <row r="198" spans="1:14" ht="15" customHeight="1" x14ac:dyDescent="0.2">
      <c r="A198" s="633"/>
      <c r="B198" s="634"/>
      <c r="C198" s="634"/>
      <c r="D198" s="637"/>
      <c r="E198" s="27"/>
      <c r="F198" s="27"/>
      <c r="G198" s="29"/>
      <c r="H198" s="633"/>
      <c r="I198" s="634"/>
      <c r="J198" s="634"/>
      <c r="K198" s="637"/>
      <c r="L198" s="1">
        <f t="shared" si="19"/>
        <v>7</v>
      </c>
      <c r="M198" s="1" t="str">
        <f t="shared" si="21"/>
        <v>Yes</v>
      </c>
      <c r="N198" s="1" t="str">
        <f t="shared" si="20"/>
        <v/>
      </c>
    </row>
    <row r="199" spans="1:14" ht="15" customHeight="1" x14ac:dyDescent="0.2">
      <c r="A199" s="633"/>
      <c r="B199" s="634"/>
      <c r="C199" s="634"/>
      <c r="D199" s="637"/>
      <c r="E199" s="27"/>
      <c r="F199" s="27"/>
      <c r="G199" s="29"/>
      <c r="H199" s="633"/>
      <c r="I199" s="634"/>
      <c r="J199" s="634"/>
      <c r="K199" s="637"/>
      <c r="L199" s="1">
        <f t="shared" si="19"/>
        <v>7</v>
      </c>
      <c r="M199" s="1" t="str">
        <f t="shared" si="21"/>
        <v>Yes</v>
      </c>
      <c r="N199" s="1" t="str">
        <f t="shared" si="20"/>
        <v/>
      </c>
    </row>
    <row r="200" spans="1:14" ht="15" customHeight="1" x14ac:dyDescent="0.2">
      <c r="A200" s="633"/>
      <c r="B200" s="634"/>
      <c r="C200" s="634"/>
      <c r="D200" s="637"/>
      <c r="E200" s="27"/>
      <c r="F200" s="27"/>
      <c r="G200" s="29"/>
      <c r="H200" s="633"/>
      <c r="I200" s="634"/>
      <c r="J200" s="634"/>
      <c r="K200" s="637"/>
      <c r="L200" s="1">
        <f t="shared" si="19"/>
        <v>7</v>
      </c>
      <c r="M200" s="1" t="str">
        <f t="shared" si="21"/>
        <v>Yes</v>
      </c>
      <c r="N200" s="1" t="str">
        <f t="shared" si="20"/>
        <v/>
      </c>
    </row>
    <row r="201" spans="1:14" ht="15" customHeight="1" x14ac:dyDescent="0.2">
      <c r="A201" s="633"/>
      <c r="B201" s="634"/>
      <c r="C201" s="634"/>
      <c r="D201" s="637"/>
      <c r="E201" s="27"/>
      <c r="F201" s="27"/>
      <c r="G201" s="29"/>
      <c r="H201" s="633"/>
      <c r="I201" s="634"/>
      <c r="J201" s="634"/>
      <c r="K201" s="637"/>
      <c r="L201" s="1">
        <f t="shared" si="19"/>
        <v>7</v>
      </c>
      <c r="M201" s="1" t="str">
        <f t="shared" si="21"/>
        <v>Yes</v>
      </c>
      <c r="N201" s="1" t="str">
        <f t="shared" si="20"/>
        <v/>
      </c>
    </row>
    <row r="202" spans="1:14" ht="15" customHeight="1" x14ac:dyDescent="0.2">
      <c r="A202" s="633"/>
      <c r="B202" s="634"/>
      <c r="C202" s="634"/>
      <c r="D202" s="637"/>
      <c r="E202" s="27"/>
      <c r="F202" s="27"/>
      <c r="G202" s="29"/>
      <c r="H202" s="633"/>
      <c r="I202" s="634"/>
      <c r="J202" s="634"/>
      <c r="K202" s="637"/>
      <c r="L202" s="1">
        <f t="shared" si="19"/>
        <v>7</v>
      </c>
      <c r="M202" s="1" t="str">
        <f t="shared" si="21"/>
        <v>Yes</v>
      </c>
      <c r="N202" s="1" t="str">
        <f t="shared" si="20"/>
        <v/>
      </c>
    </row>
    <row r="203" spans="1:14" ht="15" customHeight="1" x14ac:dyDescent="0.2">
      <c r="A203" s="633"/>
      <c r="B203" s="634"/>
      <c r="C203" s="634"/>
      <c r="D203" s="637"/>
      <c r="E203" s="27"/>
      <c r="F203" s="27"/>
      <c r="G203" s="29"/>
      <c r="H203" s="633"/>
      <c r="I203" s="634"/>
      <c r="J203" s="634"/>
      <c r="K203" s="637"/>
      <c r="L203" s="1">
        <f t="shared" si="19"/>
        <v>7</v>
      </c>
      <c r="M203" s="1" t="str">
        <f t="shared" si="21"/>
        <v>Yes</v>
      </c>
      <c r="N203" s="1" t="str">
        <f t="shared" si="20"/>
        <v/>
      </c>
    </row>
    <row r="204" spans="1:14" ht="15" customHeight="1" x14ac:dyDescent="0.2">
      <c r="A204" s="633"/>
      <c r="B204" s="634"/>
      <c r="C204" s="634"/>
      <c r="D204" s="637"/>
      <c r="E204" s="27"/>
      <c r="F204" s="27"/>
      <c r="G204" s="29"/>
      <c r="H204" s="633"/>
      <c r="I204" s="634"/>
      <c r="J204" s="634"/>
      <c r="K204" s="637"/>
      <c r="L204" s="1">
        <f t="shared" si="19"/>
        <v>7</v>
      </c>
      <c r="M204" s="1" t="str">
        <f t="shared" si="21"/>
        <v>Yes</v>
      </c>
      <c r="N204" s="1" t="str">
        <f t="shared" si="20"/>
        <v/>
      </c>
    </row>
    <row r="205" spans="1:14" ht="15" customHeight="1" x14ac:dyDescent="0.2">
      <c r="A205" s="633"/>
      <c r="B205" s="634"/>
      <c r="C205" s="634"/>
      <c r="D205" s="637"/>
      <c r="E205" s="27"/>
      <c r="F205" s="27"/>
      <c r="G205" s="29"/>
      <c r="H205" s="633"/>
      <c r="I205" s="634"/>
      <c r="J205" s="634"/>
      <c r="K205" s="637"/>
      <c r="L205" s="1">
        <f t="shared" si="19"/>
        <v>7</v>
      </c>
      <c r="M205" s="1" t="str">
        <f t="shared" si="21"/>
        <v>Yes</v>
      </c>
      <c r="N205" s="1" t="str">
        <f t="shared" si="20"/>
        <v/>
      </c>
    </row>
    <row r="206" spans="1:14" ht="15" customHeight="1" x14ac:dyDescent="0.2">
      <c r="A206" s="633"/>
      <c r="B206" s="634"/>
      <c r="C206" s="634"/>
      <c r="D206" s="637"/>
      <c r="E206" s="27"/>
      <c r="F206" s="27"/>
      <c r="G206" s="29"/>
      <c r="H206" s="633"/>
      <c r="I206" s="634"/>
      <c r="J206" s="634"/>
      <c r="K206" s="637"/>
      <c r="L206" s="1">
        <f t="shared" si="19"/>
        <v>7</v>
      </c>
      <c r="M206" s="1" t="str">
        <f t="shared" si="21"/>
        <v>Yes</v>
      </c>
      <c r="N206" s="1" t="str">
        <f t="shared" si="20"/>
        <v/>
      </c>
    </row>
    <row r="207" spans="1:14" ht="15" customHeight="1" x14ac:dyDescent="0.2">
      <c r="A207" s="633"/>
      <c r="B207" s="634"/>
      <c r="C207" s="634"/>
      <c r="D207" s="637"/>
      <c r="E207" s="27"/>
      <c r="F207" s="27"/>
      <c r="G207" s="29"/>
      <c r="H207" s="633"/>
      <c r="I207" s="634"/>
      <c r="J207" s="634"/>
      <c r="K207" s="637"/>
      <c r="L207" s="1">
        <f t="shared" si="19"/>
        <v>7</v>
      </c>
      <c r="M207" s="1" t="str">
        <f t="shared" si="21"/>
        <v>Yes</v>
      </c>
      <c r="N207" s="1" t="str">
        <f t="shared" si="20"/>
        <v/>
      </c>
    </row>
    <row r="208" spans="1:14" ht="15" customHeight="1" x14ac:dyDescent="0.2">
      <c r="A208" s="633"/>
      <c r="B208" s="634"/>
      <c r="C208" s="634"/>
      <c r="D208" s="637"/>
      <c r="E208" s="27"/>
      <c r="F208" s="27"/>
      <c r="G208" s="29"/>
      <c r="H208" s="633"/>
      <c r="I208" s="634"/>
      <c r="J208" s="634"/>
      <c r="K208" s="637"/>
      <c r="L208" s="1">
        <f t="shared" si="19"/>
        <v>7</v>
      </c>
      <c r="M208" s="1" t="str">
        <f t="shared" si="21"/>
        <v>Yes</v>
      </c>
      <c r="N208" s="1" t="str">
        <f t="shared" si="20"/>
        <v/>
      </c>
    </row>
    <row r="209" spans="1:14" ht="15" customHeight="1" x14ac:dyDescent="0.2">
      <c r="A209" s="633"/>
      <c r="B209" s="634"/>
      <c r="C209" s="634"/>
      <c r="D209" s="637"/>
      <c r="E209" s="27"/>
      <c r="F209" s="27"/>
      <c r="G209" s="29"/>
      <c r="H209" s="633"/>
      <c r="I209" s="634"/>
      <c r="J209" s="634"/>
      <c r="K209" s="637"/>
      <c r="L209" s="1">
        <f t="shared" si="19"/>
        <v>7</v>
      </c>
      <c r="M209" s="1" t="str">
        <f t="shared" si="21"/>
        <v>Yes</v>
      </c>
      <c r="N209" s="1" t="str">
        <f t="shared" si="20"/>
        <v/>
      </c>
    </row>
    <row r="210" spans="1:14" ht="15" customHeight="1" x14ac:dyDescent="0.2">
      <c r="A210" s="633"/>
      <c r="B210" s="634"/>
      <c r="C210" s="634"/>
      <c r="D210" s="637"/>
      <c r="E210" s="27"/>
      <c r="F210" s="27"/>
      <c r="G210" s="29"/>
      <c r="H210" s="633"/>
      <c r="I210" s="634"/>
      <c r="J210" s="634"/>
      <c r="K210" s="637"/>
      <c r="L210" s="1">
        <f t="shared" si="19"/>
        <v>7</v>
      </c>
      <c r="M210" s="1" t="str">
        <f t="shared" si="21"/>
        <v>Yes</v>
      </c>
      <c r="N210" s="1" t="str">
        <f t="shared" si="20"/>
        <v/>
      </c>
    </row>
    <row r="211" spans="1:14" ht="15" customHeight="1" x14ac:dyDescent="0.2">
      <c r="A211" s="751" t="s">
        <v>99</v>
      </c>
      <c r="B211" s="645"/>
      <c r="C211" s="645"/>
      <c r="D211" s="645"/>
      <c r="E211" s="645"/>
      <c r="F211" s="646"/>
      <c r="G211" s="647">
        <f>SUM(G186:G210)</f>
        <v>0</v>
      </c>
      <c r="H211" s="648"/>
      <c r="I211" s="648"/>
      <c r="J211" s="648"/>
      <c r="K211" s="752"/>
      <c r="M211" s="1">
        <f>COUNTIF(M186:M210,"Yes")</f>
        <v>25</v>
      </c>
    </row>
    <row r="212" spans="1:14" ht="15" customHeight="1" x14ac:dyDescent="0.2">
      <c r="A212" s="747"/>
      <c r="B212" s="673"/>
      <c r="C212" s="673"/>
      <c r="D212" s="673"/>
      <c r="E212" s="673"/>
      <c r="F212" s="673"/>
      <c r="G212" s="673"/>
      <c r="H212" s="673"/>
      <c r="I212" s="673"/>
      <c r="J212" s="673"/>
      <c r="K212" s="748"/>
    </row>
    <row r="213" spans="1:14" ht="18" customHeight="1" x14ac:dyDescent="0.2">
      <c r="A213" s="749" t="s">
        <v>47</v>
      </c>
      <c r="B213" s="651"/>
      <c r="C213" s="651"/>
      <c r="D213" s="651"/>
      <c r="E213" s="651"/>
      <c r="F213" s="651"/>
      <c r="G213" s="651"/>
      <c r="H213" s="651"/>
      <c r="I213" s="651"/>
      <c r="J213" s="651"/>
      <c r="K213" s="750"/>
    </row>
    <row r="214" spans="1:14" ht="18" customHeight="1" x14ac:dyDescent="0.2">
      <c r="A214" s="749" t="s">
        <v>478</v>
      </c>
      <c r="B214" s="651"/>
      <c r="C214" s="651"/>
      <c r="D214" s="651"/>
      <c r="E214" s="651"/>
      <c r="F214" s="651"/>
      <c r="G214" s="651"/>
      <c r="H214" s="651"/>
      <c r="I214" s="651"/>
      <c r="J214" s="651"/>
      <c r="K214" s="750"/>
    </row>
    <row r="215" spans="1:14" ht="15" customHeight="1" x14ac:dyDescent="0.2">
      <c r="A215" s="666" t="s">
        <v>49</v>
      </c>
      <c r="B215" s="654"/>
      <c r="C215" s="654"/>
      <c r="D215" s="655"/>
      <c r="E215" s="662" t="s">
        <v>43</v>
      </c>
      <c r="F215" s="662" t="s">
        <v>118</v>
      </c>
      <c r="G215" s="665" t="s">
        <v>104</v>
      </c>
      <c r="H215" s="666" t="s">
        <v>53</v>
      </c>
      <c r="I215" s="654"/>
      <c r="J215" s="654"/>
      <c r="K215" s="655"/>
    </row>
    <row r="216" spans="1:14" ht="15" customHeight="1" x14ac:dyDescent="0.2">
      <c r="A216" s="668"/>
      <c r="B216" s="657"/>
      <c r="C216" s="657"/>
      <c r="D216" s="658"/>
      <c r="E216" s="663"/>
      <c r="F216" s="663"/>
      <c r="G216" s="663"/>
      <c r="H216" s="668"/>
      <c r="I216" s="657"/>
      <c r="J216" s="657"/>
      <c r="K216" s="658"/>
    </row>
    <row r="217" spans="1:14" ht="15" customHeight="1" x14ac:dyDescent="0.2">
      <c r="A217" s="668"/>
      <c r="B217" s="657"/>
      <c r="C217" s="657"/>
      <c r="D217" s="658"/>
      <c r="E217" s="663"/>
      <c r="F217" s="663"/>
      <c r="G217" s="663"/>
      <c r="H217" s="668"/>
      <c r="I217" s="657"/>
      <c r="J217" s="657"/>
      <c r="K217" s="658"/>
    </row>
    <row r="218" spans="1:14" ht="15" customHeight="1" x14ac:dyDescent="0.2">
      <c r="A218" s="668"/>
      <c r="B218" s="657"/>
      <c r="C218" s="657"/>
      <c r="D218" s="658"/>
      <c r="E218" s="663"/>
      <c r="F218" s="663"/>
      <c r="G218" s="663"/>
      <c r="H218" s="668"/>
      <c r="I218" s="657"/>
      <c r="J218" s="657"/>
      <c r="K218" s="658"/>
    </row>
    <row r="219" spans="1:14" ht="15" customHeight="1" x14ac:dyDescent="0.2">
      <c r="A219" s="668"/>
      <c r="B219" s="657"/>
      <c r="C219" s="657"/>
      <c r="D219" s="658"/>
      <c r="E219" s="663"/>
      <c r="F219" s="663"/>
      <c r="G219" s="663"/>
      <c r="H219" s="668"/>
      <c r="I219" s="657"/>
      <c r="J219" s="657"/>
      <c r="K219" s="658"/>
    </row>
    <row r="220" spans="1:14" ht="14.25" customHeight="1" x14ac:dyDescent="0.2">
      <c r="A220" s="670"/>
      <c r="B220" s="660"/>
      <c r="C220" s="660"/>
      <c r="D220" s="661"/>
      <c r="E220" s="664"/>
      <c r="F220" s="664"/>
      <c r="G220" s="664"/>
      <c r="H220" s="670"/>
      <c r="I220" s="660"/>
      <c r="J220" s="660"/>
      <c r="K220" s="661"/>
    </row>
    <row r="221" spans="1:14" ht="15" customHeight="1" x14ac:dyDescent="0.2">
      <c r="A221" s="633"/>
      <c r="B221" s="634"/>
      <c r="C221" s="634"/>
      <c r="D221" s="637"/>
      <c r="E221" s="27"/>
      <c r="F221" s="27"/>
      <c r="G221" s="29"/>
      <c r="H221" s="633"/>
      <c r="I221" s="634"/>
      <c r="J221" s="634"/>
      <c r="K221" s="637"/>
      <c r="L221" s="1">
        <f t="shared" ref="L221:L245" si="22">COUNTBLANK(E221:K221)</f>
        <v>7</v>
      </c>
      <c r="M221" s="1" t="str">
        <f>IF(AND(A221&lt;&gt;"",L221&gt;3),"No","Yes")</f>
        <v>Yes</v>
      </c>
      <c r="N221" s="1" t="str">
        <f t="shared" ref="N221:N245" si="23">CONCATENATE(E221,F221)</f>
        <v/>
      </c>
    </row>
    <row r="222" spans="1:14" ht="15" customHeight="1" x14ac:dyDescent="0.2">
      <c r="A222" s="633"/>
      <c r="B222" s="634"/>
      <c r="C222" s="634"/>
      <c r="D222" s="637"/>
      <c r="E222" s="27"/>
      <c r="F222" s="27"/>
      <c r="G222" s="29"/>
      <c r="H222" s="633"/>
      <c r="I222" s="634"/>
      <c r="J222" s="634"/>
      <c r="K222" s="637"/>
      <c r="L222" s="1">
        <f t="shared" si="22"/>
        <v>7</v>
      </c>
      <c r="M222" s="1" t="str">
        <f t="shared" ref="M222:M245" si="24">IF(AND(A222&lt;&gt;"",L222&gt;3),"No","Yes")</f>
        <v>Yes</v>
      </c>
      <c r="N222" s="1" t="str">
        <f t="shared" si="23"/>
        <v/>
      </c>
    </row>
    <row r="223" spans="1:14" ht="15" customHeight="1" x14ac:dyDescent="0.2">
      <c r="A223" s="633"/>
      <c r="B223" s="634"/>
      <c r="C223" s="634"/>
      <c r="D223" s="637"/>
      <c r="E223" s="27"/>
      <c r="F223" s="27"/>
      <c r="G223" s="29"/>
      <c r="H223" s="633"/>
      <c r="I223" s="634"/>
      <c r="J223" s="634"/>
      <c r="K223" s="637"/>
      <c r="L223" s="1">
        <f t="shared" si="22"/>
        <v>7</v>
      </c>
      <c r="M223" s="1" t="str">
        <f t="shared" si="24"/>
        <v>Yes</v>
      </c>
      <c r="N223" s="1" t="str">
        <f t="shared" si="23"/>
        <v/>
      </c>
    </row>
    <row r="224" spans="1:14" ht="15" customHeight="1" x14ac:dyDescent="0.2">
      <c r="A224" s="633"/>
      <c r="B224" s="634"/>
      <c r="C224" s="634"/>
      <c r="D224" s="637"/>
      <c r="E224" s="27"/>
      <c r="F224" s="27"/>
      <c r="G224" s="29"/>
      <c r="H224" s="633"/>
      <c r="I224" s="634"/>
      <c r="J224" s="634"/>
      <c r="K224" s="637"/>
      <c r="L224" s="1">
        <f t="shared" si="22"/>
        <v>7</v>
      </c>
      <c r="M224" s="1" t="str">
        <f t="shared" si="24"/>
        <v>Yes</v>
      </c>
      <c r="N224" s="1" t="str">
        <f t="shared" si="23"/>
        <v/>
      </c>
    </row>
    <row r="225" spans="1:14" ht="15" customHeight="1" x14ac:dyDescent="0.2">
      <c r="A225" s="633"/>
      <c r="B225" s="634"/>
      <c r="C225" s="634"/>
      <c r="D225" s="637"/>
      <c r="E225" s="27"/>
      <c r="F225" s="27"/>
      <c r="G225" s="29"/>
      <c r="H225" s="633"/>
      <c r="I225" s="634"/>
      <c r="J225" s="634"/>
      <c r="K225" s="637"/>
      <c r="L225" s="1">
        <f t="shared" si="22"/>
        <v>7</v>
      </c>
      <c r="M225" s="1" t="str">
        <f t="shared" si="24"/>
        <v>Yes</v>
      </c>
      <c r="N225" s="1" t="str">
        <f t="shared" si="23"/>
        <v/>
      </c>
    </row>
    <row r="226" spans="1:14" ht="15" customHeight="1" x14ac:dyDescent="0.2">
      <c r="A226" s="633"/>
      <c r="B226" s="634"/>
      <c r="C226" s="634"/>
      <c r="D226" s="637"/>
      <c r="E226" s="27"/>
      <c r="F226" s="27"/>
      <c r="G226" s="29"/>
      <c r="H226" s="633"/>
      <c r="I226" s="634"/>
      <c r="J226" s="634"/>
      <c r="K226" s="637"/>
      <c r="L226" s="1">
        <f t="shared" si="22"/>
        <v>7</v>
      </c>
      <c r="M226" s="1" t="str">
        <f t="shared" si="24"/>
        <v>Yes</v>
      </c>
      <c r="N226" s="1" t="str">
        <f t="shared" si="23"/>
        <v/>
      </c>
    </row>
    <row r="227" spans="1:14" ht="15" customHeight="1" x14ac:dyDescent="0.2">
      <c r="A227" s="633"/>
      <c r="B227" s="634"/>
      <c r="C227" s="634"/>
      <c r="D227" s="637"/>
      <c r="E227" s="27"/>
      <c r="F227" s="27"/>
      <c r="G227" s="29"/>
      <c r="H227" s="633"/>
      <c r="I227" s="634"/>
      <c r="J227" s="634"/>
      <c r="K227" s="637"/>
      <c r="L227" s="1">
        <f t="shared" si="22"/>
        <v>7</v>
      </c>
      <c r="M227" s="1" t="str">
        <f t="shared" si="24"/>
        <v>Yes</v>
      </c>
      <c r="N227" s="1" t="str">
        <f t="shared" si="23"/>
        <v/>
      </c>
    </row>
    <row r="228" spans="1:14" ht="15" customHeight="1" x14ac:dyDescent="0.2">
      <c r="A228" s="633"/>
      <c r="B228" s="634"/>
      <c r="C228" s="634"/>
      <c r="D228" s="637"/>
      <c r="E228" s="27"/>
      <c r="F228" s="27"/>
      <c r="G228" s="29"/>
      <c r="H228" s="633"/>
      <c r="I228" s="634"/>
      <c r="J228" s="634"/>
      <c r="K228" s="637"/>
      <c r="L228" s="1">
        <f t="shared" si="22"/>
        <v>7</v>
      </c>
      <c r="M228" s="1" t="str">
        <f t="shared" si="24"/>
        <v>Yes</v>
      </c>
      <c r="N228" s="1" t="str">
        <f t="shared" si="23"/>
        <v/>
      </c>
    </row>
    <row r="229" spans="1:14" ht="15" customHeight="1" x14ac:dyDescent="0.2">
      <c r="A229" s="633"/>
      <c r="B229" s="634"/>
      <c r="C229" s="634"/>
      <c r="D229" s="637"/>
      <c r="E229" s="27"/>
      <c r="F229" s="27"/>
      <c r="G229" s="29"/>
      <c r="H229" s="633"/>
      <c r="I229" s="634"/>
      <c r="J229" s="634"/>
      <c r="K229" s="637"/>
      <c r="L229" s="1">
        <f t="shared" si="22"/>
        <v>7</v>
      </c>
      <c r="M229" s="1" t="str">
        <f t="shared" si="24"/>
        <v>Yes</v>
      </c>
      <c r="N229" s="1" t="str">
        <f t="shared" si="23"/>
        <v/>
      </c>
    </row>
    <row r="230" spans="1:14" ht="15" customHeight="1" x14ac:dyDescent="0.2">
      <c r="A230" s="633"/>
      <c r="B230" s="634"/>
      <c r="C230" s="634"/>
      <c r="D230" s="637"/>
      <c r="E230" s="27"/>
      <c r="F230" s="27"/>
      <c r="G230" s="29"/>
      <c r="H230" s="633"/>
      <c r="I230" s="634"/>
      <c r="J230" s="634"/>
      <c r="K230" s="637"/>
      <c r="L230" s="1">
        <f t="shared" si="22"/>
        <v>7</v>
      </c>
      <c r="M230" s="1" t="str">
        <f t="shared" si="24"/>
        <v>Yes</v>
      </c>
      <c r="N230" s="1" t="str">
        <f t="shared" si="23"/>
        <v/>
      </c>
    </row>
    <row r="231" spans="1:14" ht="15" customHeight="1" x14ac:dyDescent="0.2">
      <c r="A231" s="633"/>
      <c r="B231" s="634"/>
      <c r="C231" s="634"/>
      <c r="D231" s="637"/>
      <c r="E231" s="27"/>
      <c r="F231" s="27"/>
      <c r="G231" s="29"/>
      <c r="H231" s="633"/>
      <c r="I231" s="634"/>
      <c r="J231" s="634"/>
      <c r="K231" s="637"/>
      <c r="L231" s="1">
        <f t="shared" si="22"/>
        <v>7</v>
      </c>
      <c r="M231" s="1" t="str">
        <f t="shared" si="24"/>
        <v>Yes</v>
      </c>
      <c r="N231" s="1" t="str">
        <f t="shared" si="23"/>
        <v/>
      </c>
    </row>
    <row r="232" spans="1:14" ht="15" customHeight="1" x14ac:dyDescent="0.2">
      <c r="A232" s="633"/>
      <c r="B232" s="634"/>
      <c r="C232" s="634"/>
      <c r="D232" s="637"/>
      <c r="E232" s="27"/>
      <c r="F232" s="27"/>
      <c r="G232" s="29"/>
      <c r="H232" s="633"/>
      <c r="I232" s="634"/>
      <c r="J232" s="634"/>
      <c r="K232" s="637"/>
      <c r="L232" s="1">
        <f t="shared" si="22"/>
        <v>7</v>
      </c>
      <c r="M232" s="1" t="str">
        <f t="shared" si="24"/>
        <v>Yes</v>
      </c>
      <c r="N232" s="1" t="str">
        <f t="shared" si="23"/>
        <v/>
      </c>
    </row>
    <row r="233" spans="1:14" ht="15" customHeight="1" x14ac:dyDescent="0.2">
      <c r="A233" s="633"/>
      <c r="B233" s="634"/>
      <c r="C233" s="634"/>
      <c r="D233" s="637"/>
      <c r="E233" s="27"/>
      <c r="F233" s="27"/>
      <c r="G233" s="29"/>
      <c r="H233" s="633"/>
      <c r="I233" s="634"/>
      <c r="J233" s="634"/>
      <c r="K233" s="637"/>
      <c r="L233" s="1">
        <f t="shared" si="22"/>
        <v>7</v>
      </c>
      <c r="M233" s="1" t="str">
        <f t="shared" si="24"/>
        <v>Yes</v>
      </c>
      <c r="N233" s="1" t="str">
        <f t="shared" si="23"/>
        <v/>
      </c>
    </row>
    <row r="234" spans="1:14" ht="15" customHeight="1" x14ac:dyDescent="0.2">
      <c r="A234" s="633"/>
      <c r="B234" s="634"/>
      <c r="C234" s="634"/>
      <c r="D234" s="637"/>
      <c r="E234" s="27"/>
      <c r="F234" s="27"/>
      <c r="G234" s="29"/>
      <c r="H234" s="633"/>
      <c r="I234" s="634"/>
      <c r="J234" s="634"/>
      <c r="K234" s="637"/>
      <c r="L234" s="1">
        <f t="shared" si="22"/>
        <v>7</v>
      </c>
      <c r="M234" s="1" t="str">
        <f t="shared" si="24"/>
        <v>Yes</v>
      </c>
      <c r="N234" s="1" t="str">
        <f t="shared" si="23"/>
        <v/>
      </c>
    </row>
    <row r="235" spans="1:14" ht="15" customHeight="1" x14ac:dyDescent="0.2">
      <c r="A235" s="633"/>
      <c r="B235" s="634"/>
      <c r="C235" s="634"/>
      <c r="D235" s="637"/>
      <c r="E235" s="27"/>
      <c r="F235" s="27"/>
      <c r="G235" s="29"/>
      <c r="H235" s="633"/>
      <c r="I235" s="634"/>
      <c r="J235" s="634"/>
      <c r="K235" s="637"/>
      <c r="L235" s="1">
        <f t="shared" si="22"/>
        <v>7</v>
      </c>
      <c r="M235" s="1" t="str">
        <f t="shared" si="24"/>
        <v>Yes</v>
      </c>
      <c r="N235" s="1" t="str">
        <f t="shared" si="23"/>
        <v/>
      </c>
    </row>
    <row r="236" spans="1:14" ht="15" customHeight="1" x14ac:dyDescent="0.2">
      <c r="A236" s="633"/>
      <c r="B236" s="634"/>
      <c r="C236" s="634"/>
      <c r="D236" s="637"/>
      <c r="E236" s="27"/>
      <c r="F236" s="27"/>
      <c r="G236" s="29"/>
      <c r="H236" s="633"/>
      <c r="I236" s="634"/>
      <c r="J236" s="634"/>
      <c r="K236" s="637"/>
      <c r="L236" s="1">
        <f t="shared" si="22"/>
        <v>7</v>
      </c>
      <c r="M236" s="1" t="str">
        <f t="shared" si="24"/>
        <v>Yes</v>
      </c>
      <c r="N236" s="1" t="str">
        <f t="shared" si="23"/>
        <v/>
      </c>
    </row>
    <row r="237" spans="1:14" ht="15" customHeight="1" x14ac:dyDescent="0.2">
      <c r="A237" s="633"/>
      <c r="B237" s="634"/>
      <c r="C237" s="634"/>
      <c r="D237" s="637"/>
      <c r="E237" s="27"/>
      <c r="F237" s="27"/>
      <c r="G237" s="29"/>
      <c r="H237" s="633"/>
      <c r="I237" s="634"/>
      <c r="J237" s="634"/>
      <c r="K237" s="637"/>
      <c r="L237" s="1">
        <f t="shared" si="22"/>
        <v>7</v>
      </c>
      <c r="M237" s="1" t="str">
        <f t="shared" si="24"/>
        <v>Yes</v>
      </c>
      <c r="N237" s="1" t="str">
        <f t="shared" si="23"/>
        <v/>
      </c>
    </row>
    <row r="238" spans="1:14" ht="15" customHeight="1" x14ac:dyDescent="0.2">
      <c r="A238" s="633"/>
      <c r="B238" s="634"/>
      <c r="C238" s="634"/>
      <c r="D238" s="637"/>
      <c r="E238" s="27"/>
      <c r="F238" s="27"/>
      <c r="G238" s="29"/>
      <c r="H238" s="633"/>
      <c r="I238" s="634"/>
      <c r="J238" s="634"/>
      <c r="K238" s="637"/>
      <c r="L238" s="1">
        <f t="shared" si="22"/>
        <v>7</v>
      </c>
      <c r="M238" s="1" t="str">
        <f t="shared" si="24"/>
        <v>Yes</v>
      </c>
      <c r="N238" s="1" t="str">
        <f t="shared" si="23"/>
        <v/>
      </c>
    </row>
    <row r="239" spans="1:14" ht="15" customHeight="1" x14ac:dyDescent="0.2">
      <c r="A239" s="633"/>
      <c r="B239" s="634"/>
      <c r="C239" s="634"/>
      <c r="D239" s="637"/>
      <c r="E239" s="27"/>
      <c r="F239" s="27"/>
      <c r="G239" s="29"/>
      <c r="H239" s="633"/>
      <c r="I239" s="634"/>
      <c r="J239" s="634"/>
      <c r="K239" s="637"/>
      <c r="L239" s="1">
        <f t="shared" si="22"/>
        <v>7</v>
      </c>
      <c r="M239" s="1" t="str">
        <f t="shared" si="24"/>
        <v>Yes</v>
      </c>
      <c r="N239" s="1" t="str">
        <f t="shared" si="23"/>
        <v/>
      </c>
    </row>
    <row r="240" spans="1:14" ht="15" customHeight="1" x14ac:dyDescent="0.2">
      <c r="A240" s="633"/>
      <c r="B240" s="634"/>
      <c r="C240" s="634"/>
      <c r="D240" s="637"/>
      <c r="E240" s="27"/>
      <c r="F240" s="27"/>
      <c r="G240" s="29"/>
      <c r="H240" s="633"/>
      <c r="I240" s="634"/>
      <c r="J240" s="634"/>
      <c r="K240" s="637"/>
      <c r="L240" s="1">
        <f t="shared" si="22"/>
        <v>7</v>
      </c>
      <c r="M240" s="1" t="str">
        <f t="shared" si="24"/>
        <v>Yes</v>
      </c>
      <c r="N240" s="1" t="str">
        <f t="shared" si="23"/>
        <v/>
      </c>
    </row>
    <row r="241" spans="1:14" ht="15" customHeight="1" x14ac:dyDescent="0.2">
      <c r="A241" s="633"/>
      <c r="B241" s="634"/>
      <c r="C241" s="634"/>
      <c r="D241" s="637"/>
      <c r="E241" s="27"/>
      <c r="F241" s="27"/>
      <c r="G241" s="29"/>
      <c r="H241" s="633"/>
      <c r="I241" s="634"/>
      <c r="J241" s="634"/>
      <c r="K241" s="637"/>
      <c r="L241" s="1">
        <f t="shared" si="22"/>
        <v>7</v>
      </c>
      <c r="M241" s="1" t="str">
        <f t="shared" si="24"/>
        <v>Yes</v>
      </c>
      <c r="N241" s="1" t="str">
        <f t="shared" si="23"/>
        <v/>
      </c>
    </row>
    <row r="242" spans="1:14" ht="15" customHeight="1" x14ac:dyDescent="0.2">
      <c r="A242" s="633"/>
      <c r="B242" s="634"/>
      <c r="C242" s="634"/>
      <c r="D242" s="637"/>
      <c r="E242" s="27"/>
      <c r="F242" s="27"/>
      <c r="G242" s="29"/>
      <c r="H242" s="633"/>
      <c r="I242" s="634"/>
      <c r="J242" s="634"/>
      <c r="K242" s="637"/>
      <c r="L242" s="1">
        <f t="shared" si="22"/>
        <v>7</v>
      </c>
      <c r="M242" s="1" t="str">
        <f t="shared" si="24"/>
        <v>Yes</v>
      </c>
      <c r="N242" s="1" t="str">
        <f t="shared" si="23"/>
        <v/>
      </c>
    </row>
    <row r="243" spans="1:14" ht="15" customHeight="1" x14ac:dyDescent="0.2">
      <c r="A243" s="633"/>
      <c r="B243" s="634"/>
      <c r="C243" s="634"/>
      <c r="D243" s="637"/>
      <c r="E243" s="27"/>
      <c r="F243" s="27"/>
      <c r="G243" s="29"/>
      <c r="H243" s="633"/>
      <c r="I243" s="634"/>
      <c r="J243" s="634"/>
      <c r="K243" s="637"/>
      <c r="L243" s="1">
        <f t="shared" si="22"/>
        <v>7</v>
      </c>
      <c r="M243" s="1" t="str">
        <f t="shared" si="24"/>
        <v>Yes</v>
      </c>
      <c r="N243" s="1" t="str">
        <f t="shared" si="23"/>
        <v/>
      </c>
    </row>
    <row r="244" spans="1:14" ht="15" customHeight="1" x14ac:dyDescent="0.2">
      <c r="A244" s="633"/>
      <c r="B244" s="634"/>
      <c r="C244" s="634"/>
      <c r="D244" s="637"/>
      <c r="E244" s="27"/>
      <c r="F244" s="27"/>
      <c r="G244" s="29"/>
      <c r="H244" s="633"/>
      <c r="I244" s="634"/>
      <c r="J244" s="634"/>
      <c r="K244" s="637"/>
      <c r="L244" s="1">
        <f t="shared" si="22"/>
        <v>7</v>
      </c>
      <c r="M244" s="1" t="str">
        <f t="shared" si="24"/>
        <v>Yes</v>
      </c>
      <c r="N244" s="1" t="str">
        <f t="shared" si="23"/>
        <v/>
      </c>
    </row>
    <row r="245" spans="1:14" ht="15" customHeight="1" x14ac:dyDescent="0.2">
      <c r="A245" s="633"/>
      <c r="B245" s="634"/>
      <c r="C245" s="634"/>
      <c r="D245" s="637"/>
      <c r="E245" s="27"/>
      <c r="F245" s="27"/>
      <c r="G245" s="29"/>
      <c r="H245" s="633"/>
      <c r="I245" s="634"/>
      <c r="J245" s="634"/>
      <c r="K245" s="637"/>
      <c r="L245" s="1">
        <f t="shared" si="22"/>
        <v>7</v>
      </c>
      <c r="M245" s="1" t="str">
        <f t="shared" si="24"/>
        <v>Yes</v>
      </c>
      <c r="N245" s="1" t="str">
        <f t="shared" si="23"/>
        <v/>
      </c>
    </row>
    <row r="246" spans="1:14" ht="15" customHeight="1" x14ac:dyDescent="0.2">
      <c r="A246" s="751" t="s">
        <v>100</v>
      </c>
      <c r="B246" s="645"/>
      <c r="C246" s="645"/>
      <c r="D246" s="645"/>
      <c r="E246" s="645"/>
      <c r="F246" s="646"/>
      <c r="G246" s="647">
        <f>SUM(G221:G245)</f>
        <v>0</v>
      </c>
      <c r="H246" s="648"/>
      <c r="I246" s="648"/>
      <c r="J246" s="648"/>
      <c r="K246" s="752"/>
      <c r="M246" s="1">
        <f>COUNTIF(M221:M245,"Yes")</f>
        <v>25</v>
      </c>
    </row>
  </sheetData>
  <sheetProtection password="E686" sheet="1" objects="1" scenarios="1" formatRows="0"/>
  <mergeCells count="424">
    <mergeCell ref="A245:D245"/>
    <mergeCell ref="H245:K245"/>
    <mergeCell ref="A240:D240"/>
    <mergeCell ref="H240:K240"/>
    <mergeCell ref="A241:D241"/>
    <mergeCell ref="H241:K241"/>
    <mergeCell ref="A246:F246"/>
    <mergeCell ref="G246:K246"/>
    <mergeCell ref="A208:D208"/>
    <mergeCell ref="A243:D243"/>
    <mergeCell ref="H243:K243"/>
    <mergeCell ref="A242:D242"/>
    <mergeCell ref="H242:K242"/>
    <mergeCell ref="A239:D239"/>
    <mergeCell ref="A236:D236"/>
    <mergeCell ref="H236:K236"/>
    <mergeCell ref="A237:D237"/>
    <mergeCell ref="H237:K237"/>
    <mergeCell ref="A238:D238"/>
    <mergeCell ref="H238:K238"/>
    <mergeCell ref="H239:K239"/>
    <mergeCell ref="A244:D244"/>
    <mergeCell ref="H244:K244"/>
    <mergeCell ref="A231:D231"/>
    <mergeCell ref="H231:K231"/>
    <mergeCell ref="A232:D232"/>
    <mergeCell ref="H232:K232"/>
    <mergeCell ref="A233:D233"/>
    <mergeCell ref="H233:K233"/>
    <mergeCell ref="A234:D234"/>
    <mergeCell ref="H234:K234"/>
    <mergeCell ref="A235:D235"/>
    <mergeCell ref="H235:K235"/>
    <mergeCell ref="A226:D226"/>
    <mergeCell ref="H226:K226"/>
    <mergeCell ref="A227:D227"/>
    <mergeCell ref="H227:K227"/>
    <mergeCell ref="A228:D228"/>
    <mergeCell ref="H228:K228"/>
    <mergeCell ref="A229:D229"/>
    <mergeCell ref="H229:K229"/>
    <mergeCell ref="A230:D230"/>
    <mergeCell ref="H230:K230"/>
    <mergeCell ref="A221:D221"/>
    <mergeCell ref="H221:K221"/>
    <mergeCell ref="A222:D222"/>
    <mergeCell ref="H222:K222"/>
    <mergeCell ref="A223:D223"/>
    <mergeCell ref="H223:K223"/>
    <mergeCell ref="A224:D224"/>
    <mergeCell ref="H224:K224"/>
    <mergeCell ref="A225:D225"/>
    <mergeCell ref="H225:K225"/>
    <mergeCell ref="G211:K211"/>
    <mergeCell ref="A212:K212"/>
    <mergeCell ref="A213:K213"/>
    <mergeCell ref="A214:K214"/>
    <mergeCell ref="A215:D220"/>
    <mergeCell ref="F215:F220"/>
    <mergeCell ref="G215:G220"/>
    <mergeCell ref="H215:K220"/>
    <mergeCell ref="E215:E220"/>
    <mergeCell ref="A211:F211"/>
    <mergeCell ref="H208:K208"/>
    <mergeCell ref="A209:D209"/>
    <mergeCell ref="H209:K209"/>
    <mergeCell ref="A210:D210"/>
    <mergeCell ref="H210:K210"/>
    <mergeCell ref="A205:D205"/>
    <mergeCell ref="H205:K205"/>
    <mergeCell ref="A206:D206"/>
    <mergeCell ref="H206:K206"/>
    <mergeCell ref="A207:D207"/>
    <mergeCell ref="A201:D201"/>
    <mergeCell ref="H201:K201"/>
    <mergeCell ref="A196:D196"/>
    <mergeCell ref="H196:K196"/>
    <mergeCell ref="A197:D197"/>
    <mergeCell ref="H197:K197"/>
    <mergeCell ref="A198:D198"/>
    <mergeCell ref="H207:K207"/>
    <mergeCell ref="A202:D202"/>
    <mergeCell ref="H202:K202"/>
    <mergeCell ref="A203:D203"/>
    <mergeCell ref="H203:K203"/>
    <mergeCell ref="A204:D204"/>
    <mergeCell ref="H204:K204"/>
    <mergeCell ref="A199:D199"/>
    <mergeCell ref="H198:K198"/>
    <mergeCell ref="A193:D193"/>
    <mergeCell ref="H193:K193"/>
    <mergeCell ref="A194:D194"/>
    <mergeCell ref="H194:K194"/>
    <mergeCell ref="A195:D195"/>
    <mergeCell ref="H195:K195"/>
    <mergeCell ref="H199:K199"/>
    <mergeCell ref="A200:D200"/>
    <mergeCell ref="H200:K200"/>
    <mergeCell ref="H190:K190"/>
    <mergeCell ref="A191:D191"/>
    <mergeCell ref="H191:K191"/>
    <mergeCell ref="A192:D192"/>
    <mergeCell ref="H192:K192"/>
    <mergeCell ref="A187:D187"/>
    <mergeCell ref="H187:K187"/>
    <mergeCell ref="A188:D188"/>
    <mergeCell ref="H188:K188"/>
    <mergeCell ref="A189:D189"/>
    <mergeCell ref="A190:D190"/>
    <mergeCell ref="A177:K177"/>
    <mergeCell ref="A178:K178"/>
    <mergeCell ref="H189:K189"/>
    <mergeCell ref="A179:K179"/>
    <mergeCell ref="A180:D185"/>
    <mergeCell ref="F180:F185"/>
    <mergeCell ref="G180:G185"/>
    <mergeCell ref="H180:K185"/>
    <mergeCell ref="A186:D186"/>
    <mergeCell ref="H186:K186"/>
    <mergeCell ref="E180:E185"/>
    <mergeCell ref="A172:D172"/>
    <mergeCell ref="H172:K172"/>
    <mergeCell ref="A173:D173"/>
    <mergeCell ref="H173:K173"/>
    <mergeCell ref="A174:D174"/>
    <mergeCell ref="H174:K174"/>
    <mergeCell ref="A175:D175"/>
    <mergeCell ref="H175:K175"/>
    <mergeCell ref="A176:F176"/>
    <mergeCell ref="G176:K176"/>
    <mergeCell ref="A167:D167"/>
    <mergeCell ref="H167:K167"/>
    <mergeCell ref="A168:D168"/>
    <mergeCell ref="H168:K168"/>
    <mergeCell ref="A169:D169"/>
    <mergeCell ref="H169:K169"/>
    <mergeCell ref="A170:D170"/>
    <mergeCell ref="H170:K170"/>
    <mergeCell ref="A171:D171"/>
    <mergeCell ref="H171:K171"/>
    <mergeCell ref="A162:D162"/>
    <mergeCell ref="H162:K162"/>
    <mergeCell ref="A163:D163"/>
    <mergeCell ref="H163:K163"/>
    <mergeCell ref="A164:D164"/>
    <mergeCell ref="H164:K164"/>
    <mergeCell ref="A165:D165"/>
    <mergeCell ref="H165:K165"/>
    <mergeCell ref="A166:D166"/>
    <mergeCell ref="H166:K166"/>
    <mergeCell ref="A157:D157"/>
    <mergeCell ref="H157:K157"/>
    <mergeCell ref="A158:D158"/>
    <mergeCell ref="H158:K158"/>
    <mergeCell ref="A159:D159"/>
    <mergeCell ref="H159:K159"/>
    <mergeCell ref="A160:D160"/>
    <mergeCell ref="H160:K160"/>
    <mergeCell ref="A161:D161"/>
    <mergeCell ref="H161:K161"/>
    <mergeCell ref="A152:D152"/>
    <mergeCell ref="H152:K152"/>
    <mergeCell ref="A153:D153"/>
    <mergeCell ref="H153:K153"/>
    <mergeCell ref="A154:D154"/>
    <mergeCell ref="H154:K154"/>
    <mergeCell ref="A155:D155"/>
    <mergeCell ref="H155:K155"/>
    <mergeCell ref="A156:D156"/>
    <mergeCell ref="H156:K156"/>
    <mergeCell ref="A142:K142"/>
    <mergeCell ref="A143:K143"/>
    <mergeCell ref="A144:K144"/>
    <mergeCell ref="A145:D150"/>
    <mergeCell ref="F145:F150"/>
    <mergeCell ref="G145:G150"/>
    <mergeCell ref="H145:K150"/>
    <mergeCell ref="E145:E150"/>
    <mergeCell ref="A151:D151"/>
    <mergeCell ref="H151:K151"/>
    <mergeCell ref="A137:D137"/>
    <mergeCell ref="H137:K137"/>
    <mergeCell ref="A138:D138"/>
    <mergeCell ref="H138:K138"/>
    <mergeCell ref="A139:D139"/>
    <mergeCell ref="H139:K139"/>
    <mergeCell ref="A140:D140"/>
    <mergeCell ref="H140:K140"/>
    <mergeCell ref="A141:F141"/>
    <mergeCell ref="G141:K141"/>
    <mergeCell ref="A132:D132"/>
    <mergeCell ref="H132:K132"/>
    <mergeCell ref="A133:D133"/>
    <mergeCell ref="H133:K133"/>
    <mergeCell ref="A134:D134"/>
    <mergeCell ref="H134:K134"/>
    <mergeCell ref="A135:D135"/>
    <mergeCell ref="H135:K135"/>
    <mergeCell ref="A136:D136"/>
    <mergeCell ref="H136:K136"/>
    <mergeCell ref="A127:D127"/>
    <mergeCell ref="H127:K127"/>
    <mergeCell ref="A128:D128"/>
    <mergeCell ref="H128:K128"/>
    <mergeCell ref="A129:D129"/>
    <mergeCell ref="H129:K129"/>
    <mergeCell ref="A130:D130"/>
    <mergeCell ref="H130:K130"/>
    <mergeCell ref="A131:D131"/>
    <mergeCell ref="H131:K131"/>
    <mergeCell ref="A122:D122"/>
    <mergeCell ref="H122:K122"/>
    <mergeCell ref="A123:D123"/>
    <mergeCell ref="H123:K123"/>
    <mergeCell ref="A124:D124"/>
    <mergeCell ref="H124:K124"/>
    <mergeCell ref="A125:D125"/>
    <mergeCell ref="H125:K125"/>
    <mergeCell ref="A126:D126"/>
    <mergeCell ref="H126:K126"/>
    <mergeCell ref="A117:D117"/>
    <mergeCell ref="H117:K117"/>
    <mergeCell ref="A118:D118"/>
    <mergeCell ref="H118:K118"/>
    <mergeCell ref="A119:D119"/>
    <mergeCell ref="H119:K119"/>
    <mergeCell ref="A120:D120"/>
    <mergeCell ref="H120:K120"/>
    <mergeCell ref="A121:D121"/>
    <mergeCell ref="H121:K121"/>
    <mergeCell ref="A108:K108"/>
    <mergeCell ref="A109:K109"/>
    <mergeCell ref="A110:D115"/>
    <mergeCell ref="F110:F115"/>
    <mergeCell ref="G110:G115"/>
    <mergeCell ref="H110:K115"/>
    <mergeCell ref="A116:D116"/>
    <mergeCell ref="H116:K116"/>
    <mergeCell ref="E110:E115"/>
    <mergeCell ref="A103:D103"/>
    <mergeCell ref="H103:K103"/>
    <mergeCell ref="A104:D104"/>
    <mergeCell ref="H104:K104"/>
    <mergeCell ref="A105:D105"/>
    <mergeCell ref="H105:K105"/>
    <mergeCell ref="A106:F106"/>
    <mergeCell ref="G106:K106"/>
    <mergeCell ref="A107:K107"/>
    <mergeCell ref="A98:D98"/>
    <mergeCell ref="H98:K98"/>
    <mergeCell ref="A99:D99"/>
    <mergeCell ref="H99:K99"/>
    <mergeCell ref="A100:D100"/>
    <mergeCell ref="H100:K100"/>
    <mergeCell ref="A101:D101"/>
    <mergeCell ref="H101:K101"/>
    <mergeCell ref="A102:D102"/>
    <mergeCell ref="H102:K102"/>
    <mergeCell ref="A93:D93"/>
    <mergeCell ref="H93:K93"/>
    <mergeCell ref="A94:D94"/>
    <mergeCell ref="H94:K94"/>
    <mergeCell ref="A95:D95"/>
    <mergeCell ref="H95:K95"/>
    <mergeCell ref="A96:D96"/>
    <mergeCell ref="H96:K96"/>
    <mergeCell ref="A97:D97"/>
    <mergeCell ref="H97:K97"/>
    <mergeCell ref="A88:D88"/>
    <mergeCell ref="H88:K88"/>
    <mergeCell ref="A89:D89"/>
    <mergeCell ref="H89:K89"/>
    <mergeCell ref="A90:D90"/>
    <mergeCell ref="H90:K90"/>
    <mergeCell ref="A91:D91"/>
    <mergeCell ref="H91:K91"/>
    <mergeCell ref="A92:D92"/>
    <mergeCell ref="H92:K92"/>
    <mergeCell ref="A83:D83"/>
    <mergeCell ref="H83:K83"/>
    <mergeCell ref="A84:D84"/>
    <mergeCell ref="H84:K84"/>
    <mergeCell ref="A85:D85"/>
    <mergeCell ref="H85:K85"/>
    <mergeCell ref="A86:D86"/>
    <mergeCell ref="H86:K86"/>
    <mergeCell ref="A87:D87"/>
    <mergeCell ref="H87:K87"/>
    <mergeCell ref="A75:D80"/>
    <mergeCell ref="F75:F80"/>
    <mergeCell ref="G75:G80"/>
    <mergeCell ref="H75:K80"/>
    <mergeCell ref="E75:E80"/>
    <mergeCell ref="A81:D81"/>
    <mergeCell ref="H81:K81"/>
    <mergeCell ref="A82:D82"/>
    <mergeCell ref="H82:K82"/>
    <mergeCell ref="A69:B69"/>
    <mergeCell ref="H69:K69"/>
    <mergeCell ref="A70:B70"/>
    <mergeCell ref="H70:K70"/>
    <mergeCell ref="A71:D71"/>
    <mergeCell ref="G71:J71"/>
    <mergeCell ref="A72:K72"/>
    <mergeCell ref="A73:K73"/>
    <mergeCell ref="A74:K74"/>
    <mergeCell ref="A64:B64"/>
    <mergeCell ref="H64:K64"/>
    <mergeCell ref="A65:B65"/>
    <mergeCell ref="H65:K65"/>
    <mergeCell ref="A66:B66"/>
    <mergeCell ref="H66:K66"/>
    <mergeCell ref="A67:B67"/>
    <mergeCell ref="H67:K67"/>
    <mergeCell ref="A68:B68"/>
    <mergeCell ref="H68:K68"/>
    <mergeCell ref="A61:B61"/>
    <mergeCell ref="H61:K61"/>
    <mergeCell ref="A50:B50"/>
    <mergeCell ref="H50:K50"/>
    <mergeCell ref="A51:B51"/>
    <mergeCell ref="H51:K51"/>
    <mergeCell ref="A62:B62"/>
    <mergeCell ref="H62:K62"/>
    <mergeCell ref="A63:B63"/>
    <mergeCell ref="H63:K63"/>
    <mergeCell ref="A60:B60"/>
    <mergeCell ref="H60:K60"/>
    <mergeCell ref="A52:B52"/>
    <mergeCell ref="H52:K52"/>
    <mergeCell ref="A53:B53"/>
    <mergeCell ref="H53:K53"/>
    <mergeCell ref="A54:B54"/>
    <mergeCell ref="H54:K54"/>
    <mergeCell ref="A59:B59"/>
    <mergeCell ref="H59:K59"/>
    <mergeCell ref="A15:B15"/>
    <mergeCell ref="H15:K15"/>
    <mergeCell ref="A38:B38"/>
    <mergeCell ref="H38:K38"/>
    <mergeCell ref="A39:B39"/>
    <mergeCell ref="H39:K39"/>
    <mergeCell ref="A16:B16"/>
    <mergeCell ref="H16:K16"/>
    <mergeCell ref="A17:B17"/>
    <mergeCell ref="H17:K17"/>
    <mergeCell ref="A21:B21"/>
    <mergeCell ref="H21:K21"/>
    <mergeCell ref="A22:B22"/>
    <mergeCell ref="H22:K22"/>
    <mergeCell ref="A23:B23"/>
    <mergeCell ref="H23:K23"/>
    <mergeCell ref="A18:B18"/>
    <mergeCell ref="H18:K18"/>
    <mergeCell ref="A19:B19"/>
    <mergeCell ref="H19:K19"/>
    <mergeCell ref="A20:B20"/>
    <mergeCell ref="H20:K20"/>
    <mergeCell ref="A26:B26"/>
    <mergeCell ref="H26:K26"/>
    <mergeCell ref="A1:K2"/>
    <mergeCell ref="A3:K6"/>
    <mergeCell ref="A7:K8"/>
    <mergeCell ref="A9:B14"/>
    <mergeCell ref="C9:C14"/>
    <mergeCell ref="D9:D14"/>
    <mergeCell ref="F9:F14"/>
    <mergeCell ref="G9:G14"/>
    <mergeCell ref="H9:K14"/>
    <mergeCell ref="E9:E14"/>
    <mergeCell ref="A27:B27"/>
    <mergeCell ref="H27:K27"/>
    <mergeCell ref="A28:B28"/>
    <mergeCell ref="H28:K28"/>
    <mergeCell ref="A24:B24"/>
    <mergeCell ref="H24:K24"/>
    <mergeCell ref="A25:B25"/>
    <mergeCell ref="H25:K25"/>
    <mergeCell ref="A32:B32"/>
    <mergeCell ref="H32:K32"/>
    <mergeCell ref="A33:B33"/>
    <mergeCell ref="H33:K33"/>
    <mergeCell ref="A34:B34"/>
    <mergeCell ref="H34:K34"/>
    <mergeCell ref="A29:B29"/>
    <mergeCell ref="H29:K29"/>
    <mergeCell ref="A30:B30"/>
    <mergeCell ref="H30:K30"/>
    <mergeCell ref="A31:B31"/>
    <mergeCell ref="H31:K31"/>
    <mergeCell ref="A35:B35"/>
    <mergeCell ref="H35:K35"/>
    <mergeCell ref="A36:B36"/>
    <mergeCell ref="H36:K36"/>
    <mergeCell ref="A37:B37"/>
    <mergeCell ref="H37:K37"/>
    <mergeCell ref="A40:B40"/>
    <mergeCell ref="H40:K40"/>
    <mergeCell ref="A41:B41"/>
    <mergeCell ref="H41:K41"/>
    <mergeCell ref="A42:B42"/>
    <mergeCell ref="H42:K42"/>
    <mergeCell ref="A43:B43"/>
    <mergeCell ref="H43:K43"/>
    <mergeCell ref="A44:B44"/>
    <mergeCell ref="H44:K44"/>
    <mergeCell ref="A45:B45"/>
    <mergeCell ref="H45:K45"/>
    <mergeCell ref="A58:B58"/>
    <mergeCell ref="H58:K58"/>
    <mergeCell ref="A55:B55"/>
    <mergeCell ref="H55:K55"/>
    <mergeCell ref="A56:B56"/>
    <mergeCell ref="H56:K56"/>
    <mergeCell ref="A57:B57"/>
    <mergeCell ref="H57:K57"/>
    <mergeCell ref="A46:B46"/>
    <mergeCell ref="H46:K46"/>
    <mergeCell ref="A47:B47"/>
    <mergeCell ref="H47:K47"/>
    <mergeCell ref="A48:B48"/>
    <mergeCell ref="H48:K48"/>
    <mergeCell ref="A49:B49"/>
    <mergeCell ref="H49:K49"/>
  </mergeCells>
  <dataValidations count="6">
    <dataValidation allowBlank="1" showErrorMessage="1" sqref="G81:G105 G116:G140 G151:G175 G186:G210 G221:G245"/>
    <dataValidation type="list" allowBlank="1" showInputMessage="1" showErrorMessage="1" sqref="E151:E175 E186:E210 E116:E140 E221:E245 E81:E105 D15:D70">
      <formula1>program</formula1>
    </dataValidation>
    <dataValidation type="list" allowBlank="1" showInputMessage="1" showErrorMessage="1" sqref="F221:F245 F81:F105 F116:F140 F151:F175 F186:F210 E15:E70">
      <formula1>setasides</formula1>
    </dataValidation>
    <dataValidation allowBlank="1" showInputMessage="1" showErrorMessage="1" promptTitle="Total Amount" prompt="Input the total amount of these funds being used to fund this individual's salary and benefits." sqref="G15:G70"/>
    <dataValidation allowBlank="1" showInputMessage="1" showErrorMessage="1" promptTitle="% of FTE" prompt="Input a percentage or decimal showing the portion of this individual's total salary and benefits to be paid from these funds." sqref="F15:F70"/>
    <dataValidation type="textLength" operator="lessThan" allowBlank="1" showInputMessage="1" showErrorMessage="1" errorTitle="Too Much Text" error="Provide a brief description using no more than 100 characters here.  A more full description should be included within the summary worksheets (tab 2 and/or tab 8)." sqref="H15:K70 H81:K105 H116:K140 H151:K175 H186:K210 H221:K245">
      <formula1>101</formula1>
    </dataValidation>
  </dataValidations>
  <pageMargins left="0.75" right="0.75" top="1" bottom="1" header="0.5" footer="0.5"/>
  <pageSetup scale="76" fitToHeight="0" orientation="landscape" r:id="rId1"/>
  <headerFooter alignWithMargins="0">
    <oddHeader>&amp;LFFY 2012 Consolidated Application&amp;C&amp;A&amp;R&amp;P of &amp;N</oddHeader>
  </headerFooter>
  <rowBreaks count="6" manualBreakCount="6">
    <brk id="40" max="10" man="1"/>
    <brk id="72" max="10" man="1"/>
    <brk id="107" max="10" man="1"/>
    <brk id="142" max="10" man="1"/>
    <brk id="177" max="10" man="1"/>
    <brk id="212"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86"/>
  <sheetViews>
    <sheetView zoomScale="90" zoomScaleNormal="90" workbookViewId="0">
      <selection activeCell="D13" sqref="D13:J19"/>
    </sheetView>
  </sheetViews>
  <sheetFormatPr defaultColWidth="9.140625" defaultRowHeight="12.75" x14ac:dyDescent="0.2"/>
  <cols>
    <col min="1" max="10" width="15.7109375" style="2" customWidth="1"/>
    <col min="11" max="11" width="15.7109375" style="1" customWidth="1"/>
    <col min="12" max="16384" width="9.140625" style="2"/>
  </cols>
  <sheetData>
    <row r="1" spans="1:11" ht="13.5" customHeight="1" thickTop="1" x14ac:dyDescent="0.2">
      <c r="A1" s="758" t="s">
        <v>105</v>
      </c>
      <c r="B1" s="759"/>
      <c r="C1" s="759"/>
      <c r="D1" s="730" t="s">
        <v>56</v>
      </c>
      <c r="E1" s="731"/>
      <c r="F1" s="731"/>
      <c r="G1" s="731"/>
      <c r="H1" s="731"/>
      <c r="I1" s="731"/>
      <c r="J1" s="731"/>
      <c r="K1" s="700" t="str">
        <f>IF(J85=('1'!B28-'3'!F18),"Your budget is now complete.","The total amount for which you have budgeted does not match the unconsolidated portion of the LEA's Title I, Part A allocation.")</f>
        <v>Your budget is now complete.</v>
      </c>
    </row>
    <row r="2" spans="1:11" ht="12.75" customHeight="1" x14ac:dyDescent="0.2">
      <c r="A2" s="760"/>
      <c r="B2" s="761"/>
      <c r="C2" s="761"/>
      <c r="D2" s="732"/>
      <c r="E2" s="733"/>
      <c r="F2" s="733"/>
      <c r="G2" s="733"/>
      <c r="H2" s="733"/>
      <c r="I2" s="733"/>
      <c r="J2" s="733"/>
      <c r="K2" s="701"/>
    </row>
    <row r="3" spans="1:11" ht="12.75" customHeight="1" x14ac:dyDescent="0.2">
      <c r="A3" s="760"/>
      <c r="B3" s="761"/>
      <c r="C3" s="761"/>
      <c r="D3" s="732"/>
      <c r="E3" s="733"/>
      <c r="F3" s="733"/>
      <c r="G3" s="733"/>
      <c r="H3" s="733"/>
      <c r="I3" s="733"/>
      <c r="J3" s="733"/>
      <c r="K3" s="701"/>
    </row>
    <row r="4" spans="1:11" ht="13.5" customHeight="1" thickBot="1" x14ac:dyDescent="0.25">
      <c r="A4" s="760"/>
      <c r="B4" s="761"/>
      <c r="C4" s="761"/>
      <c r="D4" s="734"/>
      <c r="E4" s="735"/>
      <c r="F4" s="735"/>
      <c r="G4" s="735"/>
      <c r="H4" s="735"/>
      <c r="I4" s="735"/>
      <c r="J4" s="735"/>
      <c r="K4" s="701"/>
    </row>
    <row r="5" spans="1:11" ht="12.75" customHeight="1" x14ac:dyDescent="0.2">
      <c r="A5" s="760"/>
      <c r="B5" s="761"/>
      <c r="C5" s="761"/>
      <c r="D5" s="703" t="s">
        <v>57</v>
      </c>
      <c r="E5" s="703" t="s">
        <v>58</v>
      </c>
      <c r="F5" s="703" t="s">
        <v>136</v>
      </c>
      <c r="G5" s="703" t="s">
        <v>138</v>
      </c>
      <c r="H5" s="703" t="s">
        <v>61</v>
      </c>
      <c r="I5" s="703" t="s">
        <v>115</v>
      </c>
      <c r="J5" s="705" t="s">
        <v>116</v>
      </c>
      <c r="K5" s="701"/>
    </row>
    <row r="6" spans="1:11" ht="12.75" customHeight="1" x14ac:dyDescent="0.2">
      <c r="A6" s="760"/>
      <c r="B6" s="761"/>
      <c r="C6" s="761"/>
      <c r="D6" s="704"/>
      <c r="E6" s="704"/>
      <c r="F6" s="704"/>
      <c r="G6" s="704"/>
      <c r="H6" s="704"/>
      <c r="I6" s="704"/>
      <c r="J6" s="706"/>
      <c r="K6" s="701"/>
    </row>
    <row r="7" spans="1:11" ht="12.75" customHeight="1" x14ac:dyDescent="0.2">
      <c r="A7" s="760"/>
      <c r="B7" s="761"/>
      <c r="C7" s="761"/>
      <c r="D7" s="704"/>
      <c r="E7" s="704"/>
      <c r="F7" s="704"/>
      <c r="G7" s="704"/>
      <c r="H7" s="704"/>
      <c r="I7" s="704"/>
      <c r="J7" s="707"/>
      <c r="K7" s="701"/>
    </row>
    <row r="8" spans="1:11" ht="13.5" customHeight="1" thickBot="1" x14ac:dyDescent="0.25">
      <c r="A8" s="762"/>
      <c r="B8" s="761"/>
      <c r="C8" s="761"/>
      <c r="D8" s="704"/>
      <c r="E8" s="704"/>
      <c r="F8" s="704"/>
      <c r="G8" s="704"/>
      <c r="H8" s="704"/>
      <c r="I8" s="704"/>
      <c r="J8" s="708"/>
      <c r="K8" s="701"/>
    </row>
    <row r="9" spans="1:11" ht="12.75" customHeight="1" x14ac:dyDescent="0.2">
      <c r="A9" s="712" t="s">
        <v>63</v>
      </c>
      <c r="B9" s="715" t="s">
        <v>50</v>
      </c>
      <c r="C9" s="35" t="s">
        <v>360</v>
      </c>
      <c r="D9" s="47">
        <f>SUMIF('9'!$N15:$N70,"InstructionNON SETASIDE",'9'!$G15:$G70)</f>
        <v>0</v>
      </c>
      <c r="E9" s="48">
        <f>SUMIF('9'!$N$81:$N$105,"InstructionNON SETASIDE",'9'!$G$81:$G$105)</f>
        <v>0</v>
      </c>
      <c r="F9" s="48">
        <f>SUMIF('9'!$N$116:$N$140,"InstructionNON SETASIDE",'9'!$G$116:$G$140)</f>
        <v>0</v>
      </c>
      <c r="G9" s="48">
        <f>SUMIF('9'!$N$151:$N$175,"InstructionNON SETASIDE",'9'!$G$151:$G$175)</f>
        <v>0</v>
      </c>
      <c r="H9" s="48">
        <f>SUMIF('9'!$N$186:$N$210,"InstructionNON SETASIDE",'9'!$G$186:$G$210)</f>
        <v>0</v>
      </c>
      <c r="I9" s="48">
        <f>SUMIF('9'!$N$221:$N$245,"InstructionNON SETASIDE",'9'!$G$221:$G$245)</f>
        <v>0</v>
      </c>
      <c r="J9" s="174">
        <f t="shared" ref="J9:J74" si="0">SUM(D9:I9)</f>
        <v>0</v>
      </c>
      <c r="K9" s="701"/>
    </row>
    <row r="10" spans="1:11" ht="12.75" customHeight="1" x14ac:dyDescent="0.2">
      <c r="A10" s="713"/>
      <c r="B10" s="717"/>
      <c r="C10" s="36" t="s">
        <v>111</v>
      </c>
      <c r="D10" s="49">
        <f>SUMIF('9'!$N$15:$N$70,"InstructionParent Involvement",'9'!$G$15:$G$70)</f>
        <v>0</v>
      </c>
      <c r="E10" s="50">
        <f>SUMIF('9'!$N$81:$N$105,"InstructionParent Involvement",'9'!$G$81:$G$105)</f>
        <v>0</v>
      </c>
      <c r="F10" s="50">
        <f>SUMIF('9'!$N$116:$N$140,"InstructionParent Involvement",'9'!$G$116:$G$140)</f>
        <v>0</v>
      </c>
      <c r="G10" s="50">
        <f>SUMIF('9'!$N$151:$N$175,"InstructionParent Involvement",'9'!$G$151:$G$175)</f>
        <v>0</v>
      </c>
      <c r="H10" s="50">
        <f>SUMIF('9'!$N$186:$N$210,"InstructionParent Involvement",'9'!$G$186:$G$210)</f>
        <v>0</v>
      </c>
      <c r="I10" s="50">
        <f>SUMIF('9'!$N$221:$N$245,"InstructionParent Involvement",'9'!$G$221:$G$245)</f>
        <v>0</v>
      </c>
      <c r="J10" s="175">
        <f t="shared" si="0"/>
        <v>0</v>
      </c>
      <c r="K10" s="701"/>
    </row>
    <row r="11" spans="1:11" ht="12.75" customHeight="1" x14ac:dyDescent="0.2">
      <c r="A11" s="713"/>
      <c r="B11" s="717"/>
      <c r="C11" s="36" t="s">
        <v>583</v>
      </c>
      <c r="D11" s="49">
        <f>SUMIF('9'!$N$15:$N$70,"InstructionPriority Interventions",'9'!$G$15:$G$70)</f>
        <v>0</v>
      </c>
      <c r="E11" s="50">
        <f>SUMIF('9'!$N$81:$N$105,"InstructionPriority Interventions",'9'!$G$81:$G$105)</f>
        <v>0</v>
      </c>
      <c r="F11" s="50">
        <f>SUMIF('9'!$N$116:$N$140,"InstructionPriority Interventions",'9'!$G$116:$G$140)</f>
        <v>0</v>
      </c>
      <c r="G11" s="50">
        <f>SUMIF('9'!$N$151:$N$175,"InstructionPriority Interventions",'9'!$G$151:$G$175)</f>
        <v>0</v>
      </c>
      <c r="H11" s="50">
        <f>SUMIF('9'!$N$186:$N$210,"InstructionPriority Interventions",'9'!$G$186:$G$210)</f>
        <v>0</v>
      </c>
      <c r="I11" s="50">
        <f>SUMIF('9'!$N$221:$N$245,"InstructionPriority Interventions",'9'!$G$221:$G$245)</f>
        <v>0</v>
      </c>
      <c r="J11" s="175">
        <f t="shared" si="0"/>
        <v>0</v>
      </c>
      <c r="K11" s="701"/>
    </row>
    <row r="12" spans="1:11" ht="12.75" customHeight="1" x14ac:dyDescent="0.2">
      <c r="A12" s="713"/>
      <c r="B12" s="717"/>
      <c r="C12" s="36" t="s">
        <v>584</v>
      </c>
      <c r="D12" s="49">
        <f>SUMIF('9'!$N$15:$N$70,"InstructionFocus Interventions",'9'!$G$15:$G$70)</f>
        <v>0</v>
      </c>
      <c r="E12" s="50">
        <f>SUMIF('9'!$N$81:$N$105,"InstructionFocus Interventions",'9'!$G$81:$G$105)</f>
        <v>0</v>
      </c>
      <c r="F12" s="50">
        <f>SUMIF('9'!$N$116:$N$140,"InstructionFocus Interventions",'9'!$G$116:$G$140)</f>
        <v>0</v>
      </c>
      <c r="G12" s="50">
        <f>SUMIF('9'!$N$151:$N$175,"InstructionFocus Interventions",'9'!$G$151:$G$175)</f>
        <v>0</v>
      </c>
      <c r="H12" s="50">
        <f>SUMIF('9'!$N$186:$N$210,"InstructionFocus Interventions",'9'!$G$186:$G$210)</f>
        <v>0</v>
      </c>
      <c r="I12" s="50">
        <f>SUMIF('9'!$N$221:$N$245,"InstructionFocus Interventions",'9'!$G$221:$G$245)</f>
        <v>0</v>
      </c>
      <c r="J12" s="175">
        <f t="shared" si="0"/>
        <v>0</v>
      </c>
      <c r="K12" s="701"/>
    </row>
    <row r="13" spans="1:11" ht="12.75" customHeight="1" x14ac:dyDescent="0.2">
      <c r="A13" s="713"/>
      <c r="B13" s="717"/>
      <c r="C13" s="36" t="s">
        <v>585</v>
      </c>
      <c r="D13" s="49">
        <f>SUMIF('9'!$N$15:$N$70,"InstructionOther Supports",'9'!$G$15:$G$70)</f>
        <v>0</v>
      </c>
      <c r="E13" s="50">
        <f>SUMIF('9'!$N$81:$N$105,"InstructionOther Supports",'9'!$G$81:$G$105)</f>
        <v>0</v>
      </c>
      <c r="F13" s="50">
        <f>SUMIF('9'!$N$116:$N$140,"InstructionOther Supports",'9'!$G$116:$G$140)</f>
        <v>0</v>
      </c>
      <c r="G13" s="50">
        <f>SUMIF('9'!$N$151:$N$175,"InstructionOther Supports",'9'!$G$151:$G$175)</f>
        <v>0</v>
      </c>
      <c r="H13" s="50">
        <f>SUMIF('9'!$N$186:$N$210,"InstructionOther Supports",'9'!$G$186:$G$210)</f>
        <v>0</v>
      </c>
      <c r="I13" s="50">
        <f>SUMIF('9'!$N$221:$N$245,"InstructionOther Supports",'9'!$G$221:$G$245)</f>
        <v>0</v>
      </c>
      <c r="J13" s="175">
        <f t="shared" si="0"/>
        <v>0</v>
      </c>
      <c r="K13" s="701"/>
    </row>
    <row r="14" spans="1:11" ht="12.75" customHeight="1" x14ac:dyDescent="0.2">
      <c r="A14" s="713"/>
      <c r="B14" s="717"/>
      <c r="C14" s="36" t="s">
        <v>106</v>
      </c>
      <c r="D14" s="49">
        <f>SUMIF('9'!$N$15:$N$70,"InstructionFinancial Incentives",'9'!$G$15:$G$70)</f>
        <v>0</v>
      </c>
      <c r="E14" s="50">
        <f>SUMIF('9'!$N$81:$N$105,"InstructionFinancial Incentives",'9'!$G$81:$G$105)</f>
        <v>0</v>
      </c>
      <c r="F14" s="50">
        <f>SUMIF('9'!$N$116:$N$140,"InstructionFinancial Incentives",'9'!$G$116:$G$140)</f>
        <v>0</v>
      </c>
      <c r="G14" s="50">
        <f>SUMIF('9'!$N$151:$N$175,"InstructionFinancial Incentives",'9'!$G$151:$G$175)</f>
        <v>0</v>
      </c>
      <c r="H14" s="50">
        <f>SUMIF('9'!$N$186:$N$210,"InstructionFinancial Incentives",'9'!$G$186:$G$210)</f>
        <v>0</v>
      </c>
      <c r="I14" s="50">
        <f>SUMIF('9'!$N$221:$N$245,"InstructionFinancial Incentives",'9'!$G$221:$G$245)</f>
        <v>0</v>
      </c>
      <c r="J14" s="175">
        <f t="shared" si="0"/>
        <v>0</v>
      </c>
      <c r="K14" s="701"/>
    </row>
    <row r="15" spans="1:11" ht="12.75" customHeight="1" x14ac:dyDescent="0.2">
      <c r="A15" s="713"/>
      <c r="B15" s="717"/>
      <c r="C15" s="36" t="s">
        <v>141</v>
      </c>
      <c r="D15" s="49">
        <f>SUMIF('9'!$N$15:$N$70,"InstructionOff the Top Reserve",'9'!$G$15:$G$70)</f>
        <v>0</v>
      </c>
      <c r="E15" s="50">
        <f>SUMIF('9'!$N$81:$N$105,"InstructionOff the Top Reserve",'9'!$G$81:$G$105)</f>
        <v>0</v>
      </c>
      <c r="F15" s="50">
        <f>SUMIF('9'!$N$116:$N$140,"InstructionOff the Top Reserve",'9'!$G$116:$G$140)</f>
        <v>0</v>
      </c>
      <c r="G15" s="50">
        <f>SUMIF('9'!$N$151:$N$175,"InstructionOff the Top Reserve",'9'!$G$151:$G$175)</f>
        <v>0</v>
      </c>
      <c r="H15" s="50">
        <f>SUMIF('9'!$N$186:$N$210,"InstructionOff the Top Reserve",'9'!$G$186:$G$210)</f>
        <v>0</v>
      </c>
      <c r="I15" s="50">
        <f>SUMIF('9'!$N$221:$N$245,"InstructionOff the Top Reserve",'9'!$G$221:$G$245)</f>
        <v>0</v>
      </c>
      <c r="J15" s="175">
        <f t="shared" si="0"/>
        <v>0</v>
      </c>
      <c r="K15" s="701"/>
    </row>
    <row r="16" spans="1:11" ht="12.75" customHeight="1" x14ac:dyDescent="0.2">
      <c r="A16" s="713"/>
      <c r="B16" s="717"/>
      <c r="C16" s="36" t="s">
        <v>107</v>
      </c>
      <c r="D16" s="49">
        <f>SUMIF('9'!$N$15:$N$70,"InstructionHomeless",'9'!$G$15:$G$70)</f>
        <v>0</v>
      </c>
      <c r="E16" s="50">
        <f>SUMIF('9'!$N$81:$N$105,"InstructionHomeless",'9'!$G$81:$G$105)</f>
        <v>0</v>
      </c>
      <c r="F16" s="50">
        <f>SUMIF('9'!$N$116:$N$140,"InstructionHomeless",'9'!$G$116:$G$140)</f>
        <v>0</v>
      </c>
      <c r="G16" s="50">
        <f>SUMIF('9'!$N$151:$N$175,"InstructionHomeless",'9'!$G$151:$G$175)</f>
        <v>0</v>
      </c>
      <c r="H16" s="50">
        <f>SUMIF('9'!$N$186:$N$210,"InstructionHomeless",'9'!$G$186:$G$210)</f>
        <v>0</v>
      </c>
      <c r="I16" s="50">
        <f>SUMIF('9'!$N$221:$N$245,"InstructionHomeless",'9'!$G$221:$G$245)</f>
        <v>0</v>
      </c>
      <c r="J16" s="175">
        <f t="shared" si="0"/>
        <v>0</v>
      </c>
      <c r="K16" s="701"/>
    </row>
    <row r="17" spans="1:11" ht="12.75" customHeight="1" x14ac:dyDescent="0.2">
      <c r="A17" s="713"/>
      <c r="B17" s="717"/>
      <c r="C17" s="36" t="s">
        <v>110</v>
      </c>
      <c r="D17" s="49">
        <f>SUMIF('9'!$N$15:$N$70,"InstructionNeg. &amp; Delinquent",'9'!$G$15:$G$70)</f>
        <v>0</v>
      </c>
      <c r="E17" s="50">
        <f>SUMIF('9'!$N$81:$N$105,"InstructionNeg. &amp; Delinquent",'9'!$G$81:$G$105)</f>
        <v>0</v>
      </c>
      <c r="F17" s="50">
        <f>SUMIF('9'!$N$116:$N$140,"InstructionNeg. &amp; Delinquent",'9'!$G$116:$G$140)</f>
        <v>0</v>
      </c>
      <c r="G17" s="50">
        <f>SUMIF('9'!$N$151:$N$175,"InstructionNeg. &amp; Delinquent",'9'!$G$151:$G$175)</f>
        <v>0</v>
      </c>
      <c r="H17" s="50">
        <f>SUMIF('9'!$N$186:$N$210,"InstructionNeg. &amp; Delinquent",'9'!$G$186:$G$210)</f>
        <v>0</v>
      </c>
      <c r="I17" s="50">
        <f>SUMIF('9'!$N$221:$N$245,"InstructionNeg. &amp; Delinquent",'9'!$G$221:$G$245)</f>
        <v>0</v>
      </c>
      <c r="J17" s="175">
        <f t="shared" si="0"/>
        <v>0</v>
      </c>
      <c r="K17" s="701"/>
    </row>
    <row r="18" spans="1:11" ht="12.75" customHeight="1" x14ac:dyDescent="0.2">
      <c r="A18" s="713"/>
      <c r="B18" s="717"/>
      <c r="C18" s="36" t="s">
        <v>108</v>
      </c>
      <c r="D18" s="49">
        <f>SUMIF('9'!$N$15:$N$70,"InstructionEquitable Services",'9'!$G$15:$G$70)</f>
        <v>0</v>
      </c>
      <c r="E18" s="50">
        <f>SUMIF('9'!$N$81:$N$105,"InstructionEquitable Services",'9'!$G$81:$G$105)</f>
        <v>0</v>
      </c>
      <c r="F18" s="50">
        <f>SUMIF('9'!$N$116:$N$140,"InstructionEquitable Services",'9'!$G$116:$G$140)</f>
        <v>0</v>
      </c>
      <c r="G18" s="50">
        <f>SUMIF('9'!$N$151:$N$175,"InstructionEquitable Services",'9'!$G$151:$G$175)</f>
        <v>0</v>
      </c>
      <c r="H18" s="50">
        <f>SUMIF('9'!$N$186:$N$210,"InstructionEquitable Services",'9'!$G$186:$G$210)</f>
        <v>0</v>
      </c>
      <c r="I18" s="50">
        <f>SUMIF('9'!$N$221:$N$245,"InstructionEquitable Services",'9'!$G$221:$G$245)</f>
        <v>0</v>
      </c>
      <c r="J18" s="175">
        <f t="shared" si="0"/>
        <v>0</v>
      </c>
      <c r="K18" s="701"/>
    </row>
    <row r="19" spans="1:11" ht="13.5" customHeight="1" thickBot="1" x14ac:dyDescent="0.25">
      <c r="A19" s="713"/>
      <c r="B19" s="763"/>
      <c r="C19" s="37" t="s">
        <v>112</v>
      </c>
      <c r="D19" s="38">
        <f t="shared" ref="D19:I19" si="1">SUM(D9:D18)</f>
        <v>0</v>
      </c>
      <c r="E19" s="38">
        <f t="shared" si="1"/>
        <v>0</v>
      </c>
      <c r="F19" s="38">
        <f t="shared" si="1"/>
        <v>0</v>
      </c>
      <c r="G19" s="38">
        <f t="shared" si="1"/>
        <v>0</v>
      </c>
      <c r="H19" s="38">
        <f t="shared" si="1"/>
        <v>0</v>
      </c>
      <c r="I19" s="38">
        <f t="shared" si="1"/>
        <v>0</v>
      </c>
      <c r="J19" s="41">
        <f t="shared" si="0"/>
        <v>0</v>
      </c>
      <c r="K19" s="701"/>
    </row>
    <row r="20" spans="1:11" ht="12.75" customHeight="1" x14ac:dyDescent="0.2">
      <c r="A20" s="713"/>
      <c r="B20" s="715" t="s">
        <v>51</v>
      </c>
      <c r="C20" s="35" t="s">
        <v>360</v>
      </c>
      <c r="D20" s="47">
        <f>SUMIF('9'!$N$15:$N$70,"Support ServicesNON SETASIDE",'9'!$G$15:$G$70)</f>
        <v>0</v>
      </c>
      <c r="E20" s="48">
        <f>SUMIF('9'!$N$81:$N$105,"Support ServicesNON SETASIDE",'9'!$G$81:$G$105)</f>
        <v>0</v>
      </c>
      <c r="F20" s="48">
        <f>SUMIF('9'!$N$116:$N$140,"Support ServicesNON SETASIDE",'9'!$G$116:$G$140)</f>
        <v>0</v>
      </c>
      <c r="G20" s="48">
        <f>SUMIF('9'!$N$151:$N$175,"Support ServicesNON SETASIDE",'9'!$G$151:$G$175)</f>
        <v>0</v>
      </c>
      <c r="H20" s="48">
        <f>SUMIF('9'!$N$186:$N$210,"Support ServicesNON SETASIDE",'9'!$G$186:$G$210)</f>
        <v>0</v>
      </c>
      <c r="I20" s="48">
        <f>SUMIF('9'!$N$221:$N$245,"Support ServicesNON SETASIDE",'9'!$G$221:$G$245)</f>
        <v>0</v>
      </c>
      <c r="J20" s="174">
        <f t="shared" si="0"/>
        <v>0</v>
      </c>
      <c r="K20" s="701"/>
    </row>
    <row r="21" spans="1:11" ht="12.75" customHeight="1" x14ac:dyDescent="0.2">
      <c r="A21" s="713"/>
      <c r="B21" s="717"/>
      <c r="C21" s="36" t="s">
        <v>111</v>
      </c>
      <c r="D21" s="49">
        <f>SUMIF('9'!$N$15:$N$70,"Support ServicesParent Involvement",'9'!$G$15:$G$70)</f>
        <v>0</v>
      </c>
      <c r="E21" s="50">
        <f>SUMIF('9'!$N$81:$N$105,"Support ServicesParent Involvement",'9'!$G$81:$G$105)</f>
        <v>0</v>
      </c>
      <c r="F21" s="50">
        <f>SUMIF('9'!$N$116:$N$140,"Support ServicesParent Involvement",'9'!$G$116:$G$140)</f>
        <v>0</v>
      </c>
      <c r="G21" s="50">
        <f>SUMIF('9'!$N$151:$N$175,"Support ServicesParent Involvement",'9'!$G$151:$G$175)</f>
        <v>0</v>
      </c>
      <c r="H21" s="50">
        <f>SUMIF('9'!$N$186:$N$210,"Support ServicesParent Involvement",'9'!$G$186:$G$210)</f>
        <v>0</v>
      </c>
      <c r="I21" s="50">
        <f>SUMIF('9'!$N$221:$N$245,"Support ServicesParent Involvement",'9'!$G$221:$G$245)</f>
        <v>0</v>
      </c>
      <c r="J21" s="175">
        <f t="shared" si="0"/>
        <v>0</v>
      </c>
      <c r="K21" s="701"/>
    </row>
    <row r="22" spans="1:11" ht="12.75" customHeight="1" x14ac:dyDescent="0.2">
      <c r="A22" s="713"/>
      <c r="B22" s="717"/>
      <c r="C22" s="36" t="s">
        <v>583</v>
      </c>
      <c r="D22" s="49">
        <f>SUMIF('9'!$N$15:$N$70,"Support ServicesPriority Interventions",'9'!$G$15:$G$70)</f>
        <v>0</v>
      </c>
      <c r="E22" s="50">
        <f>SUMIF('9'!$N$81:$N$105,"Support ServicesPriority Interventions",'9'!$G$81:$G$105)</f>
        <v>0</v>
      </c>
      <c r="F22" s="50">
        <f>SUMIF('9'!$N$116:$N$140,"Support ServicesPriority Interventions",'9'!$G$116:$G$140)</f>
        <v>0</v>
      </c>
      <c r="G22" s="50">
        <f>SUMIF('9'!$N$151:$N$175,"Support ServicesPriority Interventions",'9'!$G$151:$G$175)</f>
        <v>0</v>
      </c>
      <c r="H22" s="50">
        <f>SUMIF('9'!$N$186:$N$210,"Support ServicesPriority Interventions",'9'!$G$186:$G$210)</f>
        <v>0</v>
      </c>
      <c r="I22" s="50">
        <f>SUMIF('9'!$N$221:$N$245,"Support ServicesPriority Interventions",'9'!$G$221:$G$245)</f>
        <v>0</v>
      </c>
      <c r="J22" s="175">
        <f t="shared" si="0"/>
        <v>0</v>
      </c>
      <c r="K22" s="701"/>
    </row>
    <row r="23" spans="1:11" ht="12.75" customHeight="1" x14ac:dyDescent="0.2">
      <c r="A23" s="713"/>
      <c r="B23" s="717"/>
      <c r="C23" s="36" t="s">
        <v>584</v>
      </c>
      <c r="D23" s="49">
        <f>SUMIF('9'!$N$15:$N$70,"Support ServicesFocus Interventions",'9'!$G$15:$G$70)</f>
        <v>0</v>
      </c>
      <c r="E23" s="50">
        <f>SUMIF('9'!$N$81:$N$105,"Support ServicesFocus Interventions",'9'!$G$81:$G$105)</f>
        <v>0</v>
      </c>
      <c r="F23" s="50">
        <f>SUMIF('9'!$N$116:$N$140,"Support ServicesFocus Interventions",'9'!$G$116:$G$140)</f>
        <v>0</v>
      </c>
      <c r="G23" s="50">
        <f>SUMIF('9'!$N$151:$N$175,"Support ServicesFocus Interventions",'9'!$G$151:$G$175)</f>
        <v>0</v>
      </c>
      <c r="H23" s="50">
        <f>SUMIF('9'!$N$186:$N$210,"Support ServicesFocus Interventions",'9'!$G$186:$G$210)</f>
        <v>0</v>
      </c>
      <c r="I23" s="50">
        <f>SUMIF('9'!$N$221:$N$245,"Support ServicesFocus Interventions",'9'!$G$221:$G$245)</f>
        <v>0</v>
      </c>
      <c r="J23" s="175">
        <f t="shared" si="0"/>
        <v>0</v>
      </c>
      <c r="K23" s="701"/>
    </row>
    <row r="24" spans="1:11" ht="12.75" customHeight="1" x14ac:dyDescent="0.2">
      <c r="A24" s="713"/>
      <c r="B24" s="717"/>
      <c r="C24" s="36" t="s">
        <v>585</v>
      </c>
      <c r="D24" s="49">
        <f>SUMIF('9'!$N$15:$N$70,"Support ServicesOther Supports",'9'!$G$15:$G$70)</f>
        <v>0</v>
      </c>
      <c r="E24" s="50">
        <f>SUMIF('9'!$N$81:$N$105,"Support ServicesOther Supports",'9'!$G$81:$G$105)</f>
        <v>0</v>
      </c>
      <c r="F24" s="50">
        <f>SUMIF('9'!$N$116:$N$140,"Support ServicesOther Supports",'9'!$G$116:$G$140)</f>
        <v>0</v>
      </c>
      <c r="G24" s="50">
        <f>SUMIF('9'!$N$151:$N$175,"Support ServicesOther Supports",'9'!$G$151:$G$175)</f>
        <v>0</v>
      </c>
      <c r="H24" s="50">
        <f>SUMIF('9'!$N$186:$N$210,"Support ServicesOther Supports",'9'!$G$186:$G$210)</f>
        <v>0</v>
      </c>
      <c r="I24" s="50">
        <f>SUMIF('9'!$N$221:$N$245,"Support ServicesOther Supports",'9'!$G$221:$G$245)</f>
        <v>0</v>
      </c>
      <c r="J24" s="175">
        <f t="shared" si="0"/>
        <v>0</v>
      </c>
      <c r="K24" s="701"/>
    </row>
    <row r="25" spans="1:11" ht="12.75" customHeight="1" x14ac:dyDescent="0.2">
      <c r="A25" s="713"/>
      <c r="B25" s="717"/>
      <c r="C25" s="36" t="s">
        <v>106</v>
      </c>
      <c r="D25" s="49">
        <f>SUMIF('9'!$N$15:$N$70,"Support ServicesFinancial Incentives",'9'!$G$15:$G$70)</f>
        <v>0</v>
      </c>
      <c r="E25" s="50">
        <f>SUMIF('9'!$N$81:$N$105,"Support ServicesFinancial Incentives",'9'!$G$81:$G$105)</f>
        <v>0</v>
      </c>
      <c r="F25" s="50">
        <f>SUMIF('9'!$N$116:$N$140,"Support ServicesFinancial Incentives",'9'!$G$116:$G$140)</f>
        <v>0</v>
      </c>
      <c r="G25" s="50">
        <f>SUMIF('9'!$N$151:$N$175,"Support ServicesFinancial Incentives",'9'!$G$151:$G$175)</f>
        <v>0</v>
      </c>
      <c r="H25" s="50">
        <f>SUMIF('9'!$N$186:$N$210,"Support ServicesFinancial Incentives",'9'!$G$186:$G$210)</f>
        <v>0</v>
      </c>
      <c r="I25" s="50">
        <f>SUMIF('9'!$N$221:$N$245,"Support ServicesFinancial Incentives",'9'!$G$221:$G$245)</f>
        <v>0</v>
      </c>
      <c r="J25" s="175">
        <f t="shared" si="0"/>
        <v>0</v>
      </c>
      <c r="K25" s="701"/>
    </row>
    <row r="26" spans="1:11" ht="12.75" customHeight="1" x14ac:dyDescent="0.2">
      <c r="A26" s="713"/>
      <c r="B26" s="717"/>
      <c r="C26" s="36" t="s">
        <v>141</v>
      </c>
      <c r="D26" s="49">
        <f>SUMIF('9'!$N$15:$N$70,"Support ServicesOff the Top Reserve",'9'!$G$15:$G$70)</f>
        <v>0</v>
      </c>
      <c r="E26" s="50">
        <f>SUMIF('9'!$N$81:$N$105,"Support ServicesOff the Top Reserve",'9'!$G$81:$G$105)</f>
        <v>0</v>
      </c>
      <c r="F26" s="50">
        <f>SUMIF('9'!$N$116:$N$140,"Support ServicesOff the Top Reserve",'9'!$G$116:$G$140)</f>
        <v>0</v>
      </c>
      <c r="G26" s="50">
        <f>SUMIF('9'!$N$151:$N$175,"Support ServicesOff the Top Reserve",'9'!$G$151:$G$175)</f>
        <v>0</v>
      </c>
      <c r="H26" s="50">
        <f>SUMIF('9'!$N$186:$N$210,"Support ServicesOff the Top Reserve",'9'!$G$186:$G$210)</f>
        <v>0</v>
      </c>
      <c r="I26" s="50">
        <f>SUMIF('9'!$N$221:$N$245,"Support ServicesOff the Top Reserve",'9'!$G$221:$G$245)</f>
        <v>0</v>
      </c>
      <c r="J26" s="175">
        <f t="shared" si="0"/>
        <v>0</v>
      </c>
      <c r="K26" s="701"/>
    </row>
    <row r="27" spans="1:11" ht="12.75" customHeight="1" x14ac:dyDescent="0.2">
      <c r="A27" s="713"/>
      <c r="B27" s="717"/>
      <c r="C27" s="36" t="s">
        <v>107</v>
      </c>
      <c r="D27" s="49">
        <f>SUMIF('9'!$N$15:$N$70,"Support ServicesHomeless",'9'!$G$15:$G$70)</f>
        <v>0</v>
      </c>
      <c r="E27" s="50">
        <f>SUMIF('9'!$N$81:$N$105,"Support ServicesHomeless",'9'!$G$81:$G$105)</f>
        <v>0</v>
      </c>
      <c r="F27" s="50">
        <f>SUMIF('9'!$N$116:$N$140,"Support ServicesHomeless",'9'!$G$116:$G$140)</f>
        <v>0</v>
      </c>
      <c r="G27" s="50">
        <f>SUMIF('9'!$N$151:$N$175,"Support ServicesHomeless",'9'!$G$151:$G$175)</f>
        <v>0</v>
      </c>
      <c r="H27" s="50">
        <f>SUMIF('9'!$N$186:$N$210,"Support ServicesHomeless",'9'!$G$186:$G$210)</f>
        <v>0</v>
      </c>
      <c r="I27" s="50">
        <f>SUMIF('9'!$N$221:$N$245,"Support ServicesHomeless",'9'!$G$221:$G$245)</f>
        <v>0</v>
      </c>
      <c r="J27" s="175">
        <f t="shared" si="0"/>
        <v>0</v>
      </c>
      <c r="K27" s="701"/>
    </row>
    <row r="28" spans="1:11" ht="12.75" customHeight="1" x14ac:dyDescent="0.2">
      <c r="A28" s="713"/>
      <c r="B28" s="717"/>
      <c r="C28" s="36" t="s">
        <v>110</v>
      </c>
      <c r="D28" s="49">
        <f>SUMIF('9'!$N$15:$N$70,"Support ServicesNeg. &amp; Delinquent",'9'!$G$15:$G$70)</f>
        <v>0</v>
      </c>
      <c r="E28" s="50">
        <f>SUMIF('9'!$N$81:$N$105,"Support ServicesNeg. &amp; Delinquent",'9'!$G$81:$G$105)</f>
        <v>0</v>
      </c>
      <c r="F28" s="50">
        <f>SUMIF('9'!$N$116:$N$140,"Support ServicesNeg. &amp; Delinquent",'9'!$G$116:$G$140)</f>
        <v>0</v>
      </c>
      <c r="G28" s="50">
        <f>SUMIF('9'!$N$151:$N$175,"Support ServicesNeg. &amp; Delinquent",'9'!$G$151:$G$175)</f>
        <v>0</v>
      </c>
      <c r="H28" s="50">
        <f>SUMIF('9'!$N$186:$N$210,"Support ServicesNeg. &amp; Delinquent",'9'!$G$186:$G$210)</f>
        <v>0</v>
      </c>
      <c r="I28" s="50">
        <f>SUMIF('9'!$N$221:$N$245,"Support ServicesNeg. &amp; Delinquent",'9'!$G$221:$G$245)</f>
        <v>0</v>
      </c>
      <c r="J28" s="175">
        <f t="shared" si="0"/>
        <v>0</v>
      </c>
      <c r="K28" s="701"/>
    </row>
    <row r="29" spans="1:11" ht="12.75" customHeight="1" x14ac:dyDescent="0.2">
      <c r="A29" s="713"/>
      <c r="B29" s="717"/>
      <c r="C29" s="36" t="s">
        <v>108</v>
      </c>
      <c r="D29" s="49">
        <f>SUMIF('9'!$N$15:$N$70,"Support ServicesEquitable Services",'9'!$G$15:$G$70)</f>
        <v>0</v>
      </c>
      <c r="E29" s="50">
        <f>SUMIF('9'!$N$81:$N$105,"Support ServicesEquitable Services",'9'!$G$81:$G$105)</f>
        <v>0</v>
      </c>
      <c r="F29" s="50">
        <f>SUMIF('9'!$N$116:$N$140,"Support ServicesEquitable Services",'9'!$G$116:$G$140)</f>
        <v>0</v>
      </c>
      <c r="G29" s="50">
        <f>SUMIF('9'!$N$151:$N$175,"Support ServicesEquitable Services",'9'!$G$151:$G$175)</f>
        <v>0</v>
      </c>
      <c r="H29" s="50">
        <f>SUMIF('9'!$N$186:$N$210,"Support ServicesEquitable Services",'9'!$G$186:$G$210)</f>
        <v>0</v>
      </c>
      <c r="I29" s="50">
        <f>SUMIF('9'!$N$221:$N$245,"Support ServicesEquitable Services",'9'!$G$221:$G$245)</f>
        <v>0</v>
      </c>
      <c r="J29" s="175">
        <f t="shared" si="0"/>
        <v>0</v>
      </c>
      <c r="K29" s="701"/>
    </row>
    <row r="30" spans="1:11" ht="13.5" customHeight="1" thickBot="1" x14ac:dyDescent="0.25">
      <c r="A30" s="713"/>
      <c r="B30" s="763"/>
      <c r="C30" s="37" t="s">
        <v>112</v>
      </c>
      <c r="D30" s="38">
        <f t="shared" ref="D30:I30" si="2">SUM(D20:D29)</f>
        <v>0</v>
      </c>
      <c r="E30" s="38">
        <f t="shared" si="2"/>
        <v>0</v>
      </c>
      <c r="F30" s="38">
        <f t="shared" si="2"/>
        <v>0</v>
      </c>
      <c r="G30" s="38">
        <f t="shared" si="2"/>
        <v>0</v>
      </c>
      <c r="H30" s="38">
        <f t="shared" si="2"/>
        <v>0</v>
      </c>
      <c r="I30" s="38">
        <f t="shared" si="2"/>
        <v>0</v>
      </c>
      <c r="J30" s="41">
        <f t="shared" si="0"/>
        <v>0</v>
      </c>
      <c r="K30" s="701"/>
    </row>
    <row r="31" spans="1:11" ht="12.75" customHeight="1" x14ac:dyDescent="0.2">
      <c r="A31" s="713"/>
      <c r="B31" s="715" t="s">
        <v>94</v>
      </c>
      <c r="C31" s="35" t="s">
        <v>360</v>
      </c>
      <c r="D31" s="47">
        <f>SUMIF('9'!$N$15:$N$70,"AdministrationNON SETASIDE",'9'!$G$15:$G$70)</f>
        <v>0</v>
      </c>
      <c r="E31" s="48">
        <f>SUMIF('9'!$N$81:$N$105,"AdministrationNON SETASIDE",'9'!$G$81:$G$105)</f>
        <v>0</v>
      </c>
      <c r="F31" s="48">
        <f>SUMIF('9'!$N$116:$N$140,"AdministrationNON SETASIDE",'9'!$G$116:$G$140)</f>
        <v>0</v>
      </c>
      <c r="G31" s="48">
        <f>SUMIF('9'!$N$151:$N$175,"AdministrationNON SETASIDE",'9'!$G$151:$G$175)</f>
        <v>0</v>
      </c>
      <c r="H31" s="48">
        <f>SUMIF('9'!$N$186:$N$210,"AdministrationNON SETASIDE",'9'!$G$186:$G$210)</f>
        <v>0</v>
      </c>
      <c r="I31" s="48">
        <f>SUMIF('9'!$N$221:$N$245,"AdministrationNON SETASIDE",'9'!$G$221:$G$245)</f>
        <v>0</v>
      </c>
      <c r="J31" s="174">
        <f t="shared" si="0"/>
        <v>0</v>
      </c>
      <c r="K31" s="701"/>
    </row>
    <row r="32" spans="1:11" ht="12.75" customHeight="1" x14ac:dyDescent="0.2">
      <c r="A32" s="713"/>
      <c r="B32" s="717"/>
      <c r="C32" s="36" t="s">
        <v>111</v>
      </c>
      <c r="D32" s="49">
        <f>SUMIF('9'!$N$15:$N$70,"AdministrationParent Involvement",'9'!$G$15:$G$70)</f>
        <v>0</v>
      </c>
      <c r="E32" s="50">
        <f>SUMIF('9'!$N$81:$N$105,"AdministrationParent Involvement",'9'!$G$81:$G$105)</f>
        <v>0</v>
      </c>
      <c r="F32" s="50">
        <f>SUMIF('9'!$N$116:$N$140,"AdministrationParent Involvement",'9'!$G$116:$G$140)</f>
        <v>0</v>
      </c>
      <c r="G32" s="50">
        <f>SUMIF('9'!$N$151:$N$175,"AdministrationParent Involvement",'9'!$G$151:$G$175)</f>
        <v>0</v>
      </c>
      <c r="H32" s="50">
        <f>SUMIF('9'!$N$186:$N$210,"AdministrationParent Involvement",'9'!$G$186:$G$210)</f>
        <v>0</v>
      </c>
      <c r="I32" s="50">
        <f>SUMIF('9'!$N$221:$N$245,"AdministrationParent Involvement",'9'!$G$221:$G$245)</f>
        <v>0</v>
      </c>
      <c r="J32" s="175">
        <f t="shared" si="0"/>
        <v>0</v>
      </c>
      <c r="K32" s="701"/>
    </row>
    <row r="33" spans="1:11" ht="12.75" customHeight="1" x14ac:dyDescent="0.2">
      <c r="A33" s="713"/>
      <c r="B33" s="717"/>
      <c r="C33" s="36" t="s">
        <v>583</v>
      </c>
      <c r="D33" s="49">
        <f>SUMIF('9'!$N$15:$N$70,"AdministrationPriority Interventions",'9'!$G$15:$G$70)</f>
        <v>0</v>
      </c>
      <c r="E33" s="50">
        <f>SUMIF('9'!$N$81:$N$105,"AdministrationPriority Interventions",'9'!$G$81:$G$105)</f>
        <v>0</v>
      </c>
      <c r="F33" s="50">
        <f>SUMIF('9'!$N$116:$N$140,"AdministrationPriority Interventions",'9'!$G$116:$G$140)</f>
        <v>0</v>
      </c>
      <c r="G33" s="50">
        <f>SUMIF('9'!$N$151:$N$175,"AdministrationPriority Interventions",'9'!$G$151:$G$175)</f>
        <v>0</v>
      </c>
      <c r="H33" s="50">
        <f>SUMIF('9'!$N$186:$N$210,"AdministrationPriority Interventions",'9'!$G$186:$G$210)</f>
        <v>0</v>
      </c>
      <c r="I33" s="50">
        <f>SUMIF('9'!$N$221:$N$245,"AdministrationPriority Interventions",'9'!$G$221:$G$245)</f>
        <v>0</v>
      </c>
      <c r="J33" s="175">
        <f t="shared" si="0"/>
        <v>0</v>
      </c>
      <c r="K33" s="701"/>
    </row>
    <row r="34" spans="1:11" ht="12.75" customHeight="1" x14ac:dyDescent="0.2">
      <c r="A34" s="713"/>
      <c r="B34" s="717"/>
      <c r="C34" s="36" t="s">
        <v>584</v>
      </c>
      <c r="D34" s="49">
        <f>SUMIF('9'!$N$15:$N$70,"AdministrationFocus Interventions",'9'!$G$15:$G$70)</f>
        <v>0</v>
      </c>
      <c r="E34" s="50">
        <f>SUMIF('9'!$N$81:$N$105,"AdministrationFocus Interventions",'9'!$G$81:$G$105)</f>
        <v>0</v>
      </c>
      <c r="F34" s="50">
        <f>SUMIF('9'!$N$116:$N$140,"AdministrationFocus Interventions",'9'!$G$116:$G$140)</f>
        <v>0</v>
      </c>
      <c r="G34" s="50">
        <f>SUMIF('9'!$N$151:$N$175,"AdministrationFocus Interventions",'9'!$G$151:$G$175)</f>
        <v>0</v>
      </c>
      <c r="H34" s="50">
        <f>SUMIF('9'!$N$186:$N$210,"AdministrationFocus Interventions",'9'!$G$186:$G$210)</f>
        <v>0</v>
      </c>
      <c r="I34" s="50">
        <f>SUMIF('9'!$N$221:$N$245,"AdministrationFocus Interventions",'9'!$G$221:$G$245)</f>
        <v>0</v>
      </c>
      <c r="J34" s="175">
        <f t="shared" si="0"/>
        <v>0</v>
      </c>
      <c r="K34" s="701"/>
    </row>
    <row r="35" spans="1:11" ht="12.75" customHeight="1" x14ac:dyDescent="0.2">
      <c r="A35" s="713"/>
      <c r="B35" s="717"/>
      <c r="C35" s="36" t="s">
        <v>585</v>
      </c>
      <c r="D35" s="49">
        <f>SUMIF('9'!$N$15:$N$70,"AdministrationOther Supports",'9'!$G$15:$G$70)</f>
        <v>0</v>
      </c>
      <c r="E35" s="50">
        <f>SUMIF('9'!$N$81:$N$105,"AdministrationOther Supports",'9'!$G$81:$G$105)</f>
        <v>0</v>
      </c>
      <c r="F35" s="50">
        <f>SUMIF('9'!$N$116:$N$140,"AdministrationOther Supports",'9'!$G$116:$G$140)</f>
        <v>0</v>
      </c>
      <c r="G35" s="50">
        <f>SUMIF('9'!$N$151:$N$175,"AdministrationOther Supports",'9'!$G$151:$G$175)</f>
        <v>0</v>
      </c>
      <c r="H35" s="50">
        <f>SUMIF('9'!$N$186:$N$210,"AdministrationOther Supports",'9'!$G$186:$G$210)</f>
        <v>0</v>
      </c>
      <c r="I35" s="50">
        <f>SUMIF('9'!$N$221:$N$245,"AdministrationOther Supports",'9'!$G$221:$G$245)</f>
        <v>0</v>
      </c>
      <c r="J35" s="175">
        <f t="shared" si="0"/>
        <v>0</v>
      </c>
      <c r="K35" s="701"/>
    </row>
    <row r="36" spans="1:11" ht="12.75" customHeight="1" x14ac:dyDescent="0.2">
      <c r="A36" s="713"/>
      <c r="B36" s="717"/>
      <c r="C36" s="36" t="s">
        <v>106</v>
      </c>
      <c r="D36" s="49">
        <f>SUMIF('9'!$N$15:$N$70,"AdministrationFinancial Incentives",'9'!$G$15:$G$70)</f>
        <v>0</v>
      </c>
      <c r="E36" s="50">
        <f>SUMIF('9'!$N$81:$N$105,"AdministrationFinancial Incentives",'9'!$G$81:$G$105)</f>
        <v>0</v>
      </c>
      <c r="F36" s="50">
        <f>SUMIF('9'!$N$116:$N$140,"AdministrationFinancial Incentives",'9'!$G$116:$G$140)</f>
        <v>0</v>
      </c>
      <c r="G36" s="50">
        <f>SUMIF('9'!$N$151:$N$175,"AdministrationFinancial Incentives",'9'!$G$151:$G$175)</f>
        <v>0</v>
      </c>
      <c r="H36" s="50">
        <f>SUMIF('9'!$N$186:$N$210,"AdministrationFinancial Incentives",'9'!$G$186:$G$210)</f>
        <v>0</v>
      </c>
      <c r="I36" s="50">
        <f>SUMIF('9'!$N$221:$N$245,"AdministrationFinancial Incentives",'9'!$G$221:$G$245)</f>
        <v>0</v>
      </c>
      <c r="J36" s="175">
        <f t="shared" si="0"/>
        <v>0</v>
      </c>
      <c r="K36" s="701"/>
    </row>
    <row r="37" spans="1:11" ht="12.75" customHeight="1" x14ac:dyDescent="0.2">
      <c r="A37" s="713"/>
      <c r="B37" s="717"/>
      <c r="C37" s="36" t="s">
        <v>141</v>
      </c>
      <c r="D37" s="49">
        <f>SUMIF('9'!$N$15:$N$70,"AdministrationOff the Top Reserve",'9'!$G$15:$G$70)</f>
        <v>0</v>
      </c>
      <c r="E37" s="50">
        <f>SUMIF('9'!$N$81:$N$105,"AdministrationOff the Top Reserve",'9'!$G$81:$G$105)</f>
        <v>0</v>
      </c>
      <c r="F37" s="50">
        <f>SUMIF('9'!$N$116:$N$140,"AdministrationOff the Top Reserve",'9'!$G$116:$G$140)</f>
        <v>0</v>
      </c>
      <c r="G37" s="50">
        <f>SUMIF('9'!$N$151:$N$175,"AdministrationOff the Top Reserve",'9'!$G$151:$G$175)</f>
        <v>0</v>
      </c>
      <c r="H37" s="50">
        <f>SUMIF('9'!$N$186:$N$210,"AdministrationOff the Top Reserve",'9'!$G$186:$G$210)</f>
        <v>0</v>
      </c>
      <c r="I37" s="50">
        <f>SUMIF('9'!$N$221:$N$245,"AdministrationOff the Top Reserve",'9'!$G$221:$G$245)</f>
        <v>0</v>
      </c>
      <c r="J37" s="175">
        <f t="shared" si="0"/>
        <v>0</v>
      </c>
      <c r="K37" s="701"/>
    </row>
    <row r="38" spans="1:11" ht="12.75" customHeight="1" x14ac:dyDescent="0.2">
      <c r="A38" s="713"/>
      <c r="B38" s="717"/>
      <c r="C38" s="36" t="s">
        <v>107</v>
      </c>
      <c r="D38" s="49">
        <f>SUMIF('9'!$N$15:$N$70,"AdministrationHomeless",'9'!$G$15:$G$70)</f>
        <v>0</v>
      </c>
      <c r="E38" s="50">
        <f>SUMIF('9'!$N$81:$N$105,"AdministrationHomeless",'9'!$G$81:$G$105)</f>
        <v>0</v>
      </c>
      <c r="F38" s="50">
        <f>SUMIF('9'!$N$116:$N$140,"AdministrationHomeless",'9'!$G$116:$G$140)</f>
        <v>0</v>
      </c>
      <c r="G38" s="50">
        <f>SUMIF('9'!$N$151:$N$175,"AdministrationHomeless",'9'!$G$151:$G$175)</f>
        <v>0</v>
      </c>
      <c r="H38" s="50">
        <f>SUMIF('9'!$N$186:$N$210,"AdministrationHomeless",'9'!$G$186:$G$210)</f>
        <v>0</v>
      </c>
      <c r="I38" s="50">
        <f>SUMIF('9'!$N$221:$N$245,"AdministrationHomeless",'9'!$G$221:$G$245)</f>
        <v>0</v>
      </c>
      <c r="J38" s="175">
        <f t="shared" si="0"/>
        <v>0</v>
      </c>
      <c r="K38" s="701"/>
    </row>
    <row r="39" spans="1:11" ht="12.75" customHeight="1" x14ac:dyDescent="0.2">
      <c r="A39" s="713"/>
      <c r="B39" s="717"/>
      <c r="C39" s="36" t="s">
        <v>110</v>
      </c>
      <c r="D39" s="49">
        <f>SUMIF('9'!$N$15:$N$70,"AdministrationNeg. &amp; Delinquent",'9'!$G$15:$G$70)</f>
        <v>0</v>
      </c>
      <c r="E39" s="50">
        <f>SUMIF('9'!$N$81:$N$105,"AdministrationNeg. &amp; Delinquent",'9'!$G$81:$G$105)</f>
        <v>0</v>
      </c>
      <c r="F39" s="50">
        <f>SUMIF('9'!$N$116:$N$140,"AdministrationNeg. &amp; Delinquent",'9'!$G$116:$G$140)</f>
        <v>0</v>
      </c>
      <c r="G39" s="50">
        <f>SUMIF('9'!$N$151:$N$175,"AdministrationNeg. &amp; Delinquent",'9'!$G$151:$G$175)</f>
        <v>0</v>
      </c>
      <c r="H39" s="50">
        <f>SUMIF('9'!$N$186:$N$210,"AdministrationNeg. &amp; Delinquent",'9'!$G$186:$G$210)</f>
        <v>0</v>
      </c>
      <c r="I39" s="50">
        <f>SUMIF('9'!$N$221:$N$245,"AdministrationNeg. &amp; Delinquent",'9'!$G$221:$G$245)</f>
        <v>0</v>
      </c>
      <c r="J39" s="175">
        <f t="shared" si="0"/>
        <v>0</v>
      </c>
      <c r="K39" s="701"/>
    </row>
    <row r="40" spans="1:11" ht="12.75" customHeight="1" x14ac:dyDescent="0.2">
      <c r="A40" s="713"/>
      <c r="B40" s="717"/>
      <c r="C40" s="36" t="s">
        <v>108</v>
      </c>
      <c r="D40" s="49">
        <f>SUMIF('9'!$N$15:$N$70,"AdministrationEquitable Services",'9'!$G$15:$G$70)</f>
        <v>0</v>
      </c>
      <c r="E40" s="50">
        <f>SUMIF('9'!$N$81:$N$105,"AdministrationEquitable Services",'9'!$G$81:$G$105)</f>
        <v>0</v>
      </c>
      <c r="F40" s="50">
        <f>SUMIF('9'!$N$116:$N$140,"AdministrationEquitable Services",'9'!$G$116:$G$140)</f>
        <v>0</v>
      </c>
      <c r="G40" s="50">
        <f>SUMIF('9'!$N$151:$N$175,"AdministrationEquitable Services",'9'!$G$151:$G$175)</f>
        <v>0</v>
      </c>
      <c r="H40" s="50">
        <f>SUMIF('9'!$N$186:$N$210,"AdministrationEquitable Services",'9'!$G$186:$G$210)</f>
        <v>0</v>
      </c>
      <c r="I40" s="50">
        <f>SUMIF('9'!$N$221:$N$245,"AdministrationEquitable Services",'9'!$G$221:$G$245)</f>
        <v>0</v>
      </c>
      <c r="J40" s="175">
        <f t="shared" si="0"/>
        <v>0</v>
      </c>
      <c r="K40" s="701"/>
    </row>
    <row r="41" spans="1:11" ht="13.5" customHeight="1" thickBot="1" x14ac:dyDescent="0.25">
      <c r="A41" s="713"/>
      <c r="B41" s="763"/>
      <c r="C41" s="37" t="s">
        <v>112</v>
      </c>
      <c r="D41" s="38">
        <f t="shared" ref="D41:I41" si="3">SUM(D31:D40)</f>
        <v>0</v>
      </c>
      <c r="E41" s="38">
        <f t="shared" si="3"/>
        <v>0</v>
      </c>
      <c r="F41" s="38">
        <f t="shared" si="3"/>
        <v>0</v>
      </c>
      <c r="G41" s="38">
        <f t="shared" si="3"/>
        <v>0</v>
      </c>
      <c r="H41" s="38">
        <f t="shared" si="3"/>
        <v>0</v>
      </c>
      <c r="I41" s="38">
        <f t="shared" si="3"/>
        <v>0</v>
      </c>
      <c r="J41" s="41">
        <f t="shared" si="0"/>
        <v>0</v>
      </c>
      <c r="K41" s="701"/>
    </row>
    <row r="42" spans="1:11" ht="12.75" customHeight="1" x14ac:dyDescent="0.2">
      <c r="A42" s="713"/>
      <c r="B42" s="715" t="s">
        <v>90</v>
      </c>
      <c r="C42" s="35" t="s">
        <v>360</v>
      </c>
      <c r="D42" s="47">
        <f>SUMIF('9'!$N$15:$N$70,"Operations &amp; MaintenanceNON SETASIDE",'9'!$G$15:$G$70)</f>
        <v>0</v>
      </c>
      <c r="E42" s="48">
        <f>SUMIF('9'!$N$81:$N$105,"Operations &amp; MaintenanceNON SETASIDE",'9'!$G$81:$G$105)</f>
        <v>0</v>
      </c>
      <c r="F42" s="48">
        <f>SUMIF('9'!$N$116:$N$140,"Operations &amp; MaintenanceNON SETASIDE",'9'!$G$116:$G$140)</f>
        <v>0</v>
      </c>
      <c r="G42" s="48">
        <f>SUMIF('9'!$N$151:$N$175,"Operations &amp; MaintenanceNON SETASIDE",'9'!$G$151:$G$175)</f>
        <v>0</v>
      </c>
      <c r="H42" s="48">
        <f>SUMIF('9'!$N$186:$N$210,"Operations &amp; MaintenanceNON SETASIDE",'9'!$G$186:$G$210)</f>
        <v>0</v>
      </c>
      <c r="I42" s="48">
        <f>SUMIF('9'!$N$221:$N$245,"Operations &amp; MaintenanceNON SETASIDE",'9'!$G$221:$G$245)</f>
        <v>0</v>
      </c>
      <c r="J42" s="174">
        <f t="shared" si="0"/>
        <v>0</v>
      </c>
      <c r="K42" s="701"/>
    </row>
    <row r="43" spans="1:11" x14ac:dyDescent="0.2">
      <c r="A43" s="713"/>
      <c r="B43" s="717"/>
      <c r="C43" s="36" t="s">
        <v>111</v>
      </c>
      <c r="D43" s="49">
        <f>SUMIF('9'!$N$15:$N$70,"Operations &amp; MaintenanceParent Involvement",'9'!$G$15:$G$70)</f>
        <v>0</v>
      </c>
      <c r="E43" s="50">
        <f>SUMIF('9'!$N$81:$N$105,"Operations &amp; MaintenanceParent Involvement",'9'!$G$81:$G$105)</f>
        <v>0</v>
      </c>
      <c r="F43" s="50">
        <f>SUMIF('9'!$N$116:$N$140,"Operations &amp; MaintenanceParent Involvement",'9'!$G$116:$G$140)</f>
        <v>0</v>
      </c>
      <c r="G43" s="50">
        <f>SUMIF('9'!$N$151:$N$175,"Operations &amp; MaintenanceParent Involvement",'9'!$G$151:$G$175)</f>
        <v>0</v>
      </c>
      <c r="H43" s="50">
        <f>SUMIF('9'!$N$186:$N$210,"Operations &amp; MaintenanceParent Involvement",'9'!$G$186:$G$210)</f>
        <v>0</v>
      </c>
      <c r="I43" s="50">
        <f>SUMIF('9'!$N$221:$N$245,"Operations &amp; MaintenanceParent Involvement",'9'!$G$221:$G$245)</f>
        <v>0</v>
      </c>
      <c r="J43" s="175">
        <f t="shared" si="0"/>
        <v>0</v>
      </c>
      <c r="K43" s="701"/>
    </row>
    <row r="44" spans="1:11" x14ac:dyDescent="0.2">
      <c r="A44" s="713"/>
      <c r="B44" s="717"/>
      <c r="C44" s="36" t="s">
        <v>583</v>
      </c>
      <c r="D44" s="49">
        <f>SUMIF('9'!$N$15:$N$70,"Operations &amp; MaintenancePriority Interventions",'9'!$G$15:$G$70)</f>
        <v>0</v>
      </c>
      <c r="E44" s="50">
        <f>SUMIF('9'!$N$81:$N$105,"Operations &amp; MaintenancePriority Interventions",'9'!$G$81:$G$105)</f>
        <v>0</v>
      </c>
      <c r="F44" s="50">
        <f>SUMIF('9'!$N$116:$N$140,"Operations &amp; MaintenancePriority Interventions",'9'!$G$116:$G$140)</f>
        <v>0</v>
      </c>
      <c r="G44" s="50">
        <f>SUMIF('9'!$N$151:$N$175,"Operations &amp; MaintenancePriority Interventions",'9'!$G$151:$G$175)</f>
        <v>0</v>
      </c>
      <c r="H44" s="50">
        <f>SUMIF('9'!$N$186:$N$210,"Operations &amp; MaintenancePriority Interventions",'9'!$G$186:$G$210)</f>
        <v>0</v>
      </c>
      <c r="I44" s="50">
        <f>SUMIF('9'!$N$221:$N$245,"Operations &amp; MaintenancePriority Interventions",'9'!$G$221:$G$245)</f>
        <v>0</v>
      </c>
      <c r="J44" s="175">
        <f t="shared" si="0"/>
        <v>0</v>
      </c>
      <c r="K44" s="701"/>
    </row>
    <row r="45" spans="1:11" x14ac:dyDescent="0.2">
      <c r="A45" s="713"/>
      <c r="B45" s="717"/>
      <c r="C45" s="36" t="s">
        <v>584</v>
      </c>
      <c r="D45" s="49">
        <f>SUMIF('9'!$N$15:$N$70,"Operations &amp; MaintenanceFocus Interventions",'9'!$G$15:$G$70)</f>
        <v>0</v>
      </c>
      <c r="E45" s="50">
        <f>SUMIF('9'!$N$81:$N$105,"Operations &amp; MaintenanceFocus Interventions",'9'!$G$81:$G$105)</f>
        <v>0</v>
      </c>
      <c r="F45" s="50">
        <f>SUMIF('9'!$N$116:$N$140,"Operations &amp; MaintenanceFocus Interventions",'9'!$G$116:$G$140)</f>
        <v>0</v>
      </c>
      <c r="G45" s="50">
        <f>SUMIF('9'!$N$151:$N$175,"Operations &amp; MaintenanceFocus Interventions",'9'!$G$151:$G$175)</f>
        <v>0</v>
      </c>
      <c r="H45" s="50">
        <f>SUMIF('9'!$N$186:$N$210,"Operations &amp; MaintenanceFocus Interventions",'9'!$G$186:$G$210)</f>
        <v>0</v>
      </c>
      <c r="I45" s="50">
        <f>SUMIF('9'!$N$221:$N$245,"Operations &amp; MaintenanceFocus Interventions",'9'!$G$221:$G$245)</f>
        <v>0</v>
      </c>
      <c r="J45" s="175">
        <f t="shared" si="0"/>
        <v>0</v>
      </c>
      <c r="K45" s="701"/>
    </row>
    <row r="46" spans="1:11" x14ac:dyDescent="0.2">
      <c r="A46" s="713"/>
      <c r="B46" s="717"/>
      <c r="C46" s="36" t="s">
        <v>585</v>
      </c>
      <c r="D46" s="49">
        <f>SUMIF('9'!$N$15:$N$70,"Operations &amp; MaintenanceOther Supports",'9'!$G$15:$G$70)</f>
        <v>0</v>
      </c>
      <c r="E46" s="50">
        <f>SUMIF('9'!$N$81:$N$105,"Operations &amp; MaintenanceOther Supports",'9'!$G$81:$G$105)</f>
        <v>0</v>
      </c>
      <c r="F46" s="50">
        <f>SUMIF('9'!$N$116:$N$140,"Operations &amp; MaintenanceOther Supports",'9'!$G$116:$G$140)</f>
        <v>0</v>
      </c>
      <c r="G46" s="50">
        <f>SUMIF('9'!$N$151:$N$175,"Operations &amp; MaintenanceOther Supports",'9'!$G$151:$G$175)</f>
        <v>0</v>
      </c>
      <c r="H46" s="50">
        <f>SUMIF('9'!$N$186:$N$210,"Operations &amp; MaintenanceOther Supports",'9'!$G$186:$G$210)</f>
        <v>0</v>
      </c>
      <c r="I46" s="50">
        <f>SUMIF('9'!$N$221:$N$245,"Operations &amp; MaintenanceOther Supports",'9'!$G$221:$G$245)</f>
        <v>0</v>
      </c>
      <c r="J46" s="175">
        <f t="shared" si="0"/>
        <v>0</v>
      </c>
      <c r="K46" s="701"/>
    </row>
    <row r="47" spans="1:11" x14ac:dyDescent="0.2">
      <c r="A47" s="713"/>
      <c r="B47" s="717"/>
      <c r="C47" s="36" t="s">
        <v>106</v>
      </c>
      <c r="D47" s="49">
        <f>SUMIF('9'!$N$15:$N$70,"Operations &amp; MaintenanceFinancial Incentives",'9'!$G$15:$G$70)</f>
        <v>0</v>
      </c>
      <c r="E47" s="50">
        <f>SUMIF('9'!$N$81:$N$105,"Operations &amp; MaintenanceFinancial Incentives",'9'!$G$81:$G$105)</f>
        <v>0</v>
      </c>
      <c r="F47" s="50">
        <f>SUMIF('9'!$N$116:$N$140,"Operations &amp; MaintenanceFinancial Incentives",'9'!$G$116:$G$140)</f>
        <v>0</v>
      </c>
      <c r="G47" s="50">
        <f>SUMIF('9'!$N$151:$N$175,"Operations &amp; MaintenanceFinancial Incentives",'9'!$G$151:$G$175)</f>
        <v>0</v>
      </c>
      <c r="H47" s="50">
        <f>SUMIF('9'!$N$186:$N$210,"Operations &amp; MaintenanceFinancial Incentives",'9'!$G$186:$G$210)</f>
        <v>0</v>
      </c>
      <c r="I47" s="50">
        <f>SUMIF('9'!$N$221:$N$245,"Operations &amp; MaintenanceFinancial Incentives",'9'!$G$221:$G$245)</f>
        <v>0</v>
      </c>
      <c r="J47" s="175">
        <f t="shared" si="0"/>
        <v>0</v>
      </c>
      <c r="K47" s="701"/>
    </row>
    <row r="48" spans="1:11" x14ac:dyDescent="0.2">
      <c r="A48" s="713"/>
      <c r="B48" s="717"/>
      <c r="C48" s="36" t="s">
        <v>141</v>
      </c>
      <c r="D48" s="49">
        <f>SUMIF('9'!$N$15:$N$70,"Operations &amp; MaintenanceOff the Top Reserve",'9'!$G$15:$G$70)</f>
        <v>0</v>
      </c>
      <c r="E48" s="50">
        <f>SUMIF('9'!$N$81:$N$105,"Operations &amp; MaintenanceOff the Top Reserve",'9'!$G$81:$G$105)</f>
        <v>0</v>
      </c>
      <c r="F48" s="50">
        <f>SUMIF('9'!$N$116:$N$140,"Operations &amp; MaintenanceOff the Top Reserve",'9'!$G$116:$G$140)</f>
        <v>0</v>
      </c>
      <c r="G48" s="50">
        <f>SUMIF('9'!$N$151:$N$175,"Operations &amp; MaintenanceOff the Top Reserve",'9'!$G$151:$G$175)</f>
        <v>0</v>
      </c>
      <c r="H48" s="50">
        <f>SUMIF('9'!$N$186:$N$210,"Operations &amp; MaintenanceOff the Top Reserve",'9'!$G$186:$G$210)</f>
        <v>0</v>
      </c>
      <c r="I48" s="50">
        <f>SUMIF('9'!$N$221:$N$245,"Operations &amp; MaintenanceOff the Top Reserve",'9'!$G$221:$G$245)</f>
        <v>0</v>
      </c>
      <c r="J48" s="175">
        <f t="shared" si="0"/>
        <v>0</v>
      </c>
      <c r="K48" s="701"/>
    </row>
    <row r="49" spans="1:11" x14ac:dyDescent="0.2">
      <c r="A49" s="713"/>
      <c r="B49" s="717"/>
      <c r="C49" s="36" t="s">
        <v>107</v>
      </c>
      <c r="D49" s="49">
        <f>SUMIF('9'!$N$15:$N$70,"Operations &amp; MaintenanceHomeless",'9'!$G$15:$G$70)</f>
        <v>0</v>
      </c>
      <c r="E49" s="50">
        <f>SUMIF('9'!$N$81:$N$105,"Operations &amp; MaintenanceHomeless",'9'!$G$81:$G$105)</f>
        <v>0</v>
      </c>
      <c r="F49" s="50">
        <f>SUMIF('9'!$N$116:$N$140,"Operations &amp; MaintenanceHomeless",'9'!$G$116:$G$140)</f>
        <v>0</v>
      </c>
      <c r="G49" s="50">
        <f>SUMIF('9'!$N$151:$N$175,"Operations &amp; MaintenanceHomeless",'9'!$G$151:$G$175)</f>
        <v>0</v>
      </c>
      <c r="H49" s="50">
        <f>SUMIF('9'!$N$186:$N$210,"Operations &amp; MaintenanceHomeless",'9'!$G$186:$G$210)</f>
        <v>0</v>
      </c>
      <c r="I49" s="50">
        <f>SUMIF('9'!$N$221:$N$245,"Operations &amp; MaintenanceHomeless",'9'!$G$221:$G$245)</f>
        <v>0</v>
      </c>
      <c r="J49" s="175">
        <f t="shared" si="0"/>
        <v>0</v>
      </c>
      <c r="K49" s="701"/>
    </row>
    <row r="50" spans="1:11" x14ac:dyDescent="0.2">
      <c r="A50" s="713"/>
      <c r="B50" s="717"/>
      <c r="C50" s="36" t="s">
        <v>110</v>
      </c>
      <c r="D50" s="49">
        <f>SUMIF('9'!$N$15:$N$70,"Operations &amp; MaintenanceNeg. &amp; Delinquent",'9'!$G$15:$G$70)</f>
        <v>0</v>
      </c>
      <c r="E50" s="50">
        <f>SUMIF('9'!$N$81:$N$105,"Operations &amp; MaintenanceNeg. &amp; Delinquent",'9'!$G$81:$G$105)</f>
        <v>0</v>
      </c>
      <c r="F50" s="50">
        <f>SUMIF('9'!$N$116:$N$140,"Operations &amp; MaintenanceNeg. &amp; Delinquent",'9'!$G$116:$G$140)</f>
        <v>0</v>
      </c>
      <c r="G50" s="50">
        <f>SUMIF('9'!$N$151:$N$175,"Operations &amp; MaintenanceNeg. &amp; Delinquent",'9'!$G$151:$G$175)</f>
        <v>0</v>
      </c>
      <c r="H50" s="50">
        <f>SUMIF('9'!$N$186:$N$210,"Operations &amp; MaintenanceNeg. &amp; Delinquent",'9'!$G$186:$G$210)</f>
        <v>0</v>
      </c>
      <c r="I50" s="50">
        <f>SUMIF('9'!$N$221:$N$245,"Operations &amp; MaintenanceNeg. &amp; Delinquent",'9'!$G$221:$G$245)</f>
        <v>0</v>
      </c>
      <c r="J50" s="175">
        <f t="shared" si="0"/>
        <v>0</v>
      </c>
      <c r="K50" s="701"/>
    </row>
    <row r="51" spans="1:11" x14ac:dyDescent="0.2">
      <c r="A51" s="713"/>
      <c r="B51" s="717"/>
      <c r="C51" s="36" t="s">
        <v>108</v>
      </c>
      <c r="D51" s="49">
        <f>SUMIF('9'!$N$15:$N$70,"Operations &amp; MaintenanceEquitable Services",'9'!$G$15:$G$70)</f>
        <v>0</v>
      </c>
      <c r="E51" s="50">
        <f>SUMIF('9'!$N$81:$N$105,"Operations &amp; MaintenanceEquitable Services",'9'!$G$81:$G$105)</f>
        <v>0</v>
      </c>
      <c r="F51" s="50">
        <f>SUMIF('9'!$N$116:$N$140,"Operations &amp; MaintenanceEquitable Services",'9'!$G$116:$G$140)</f>
        <v>0</v>
      </c>
      <c r="G51" s="50">
        <f>SUMIF('9'!$N$151:$N$175,"Operations &amp; MaintenanceEquitable Services",'9'!$G$151:$G$175)</f>
        <v>0</v>
      </c>
      <c r="H51" s="50">
        <f>SUMIF('9'!$N$186:$N$210,"Operations &amp; MaintenanceEquitable Services",'9'!$G$186:$G$210)</f>
        <v>0</v>
      </c>
      <c r="I51" s="50">
        <f>SUMIF('9'!$N$221:$N$245,"Operations &amp; MaintenanceEquitable Services",'9'!$G$221:$G$245)</f>
        <v>0</v>
      </c>
      <c r="J51" s="175">
        <f t="shared" si="0"/>
        <v>0</v>
      </c>
      <c r="K51" s="701"/>
    </row>
    <row r="52" spans="1:11" ht="13.5" thickBot="1" x14ac:dyDescent="0.25">
      <c r="A52" s="713"/>
      <c r="B52" s="763"/>
      <c r="C52" s="37" t="s">
        <v>112</v>
      </c>
      <c r="D52" s="38">
        <f t="shared" ref="D52:I52" si="4">SUM(D42:D51)</f>
        <v>0</v>
      </c>
      <c r="E52" s="38">
        <f t="shared" si="4"/>
        <v>0</v>
      </c>
      <c r="F52" s="38">
        <f t="shared" si="4"/>
        <v>0</v>
      </c>
      <c r="G52" s="38">
        <f t="shared" si="4"/>
        <v>0</v>
      </c>
      <c r="H52" s="38">
        <f t="shared" si="4"/>
        <v>0</v>
      </c>
      <c r="I52" s="38">
        <f t="shared" si="4"/>
        <v>0</v>
      </c>
      <c r="J52" s="41">
        <f t="shared" si="0"/>
        <v>0</v>
      </c>
      <c r="K52" s="701"/>
    </row>
    <row r="53" spans="1:11" ht="12.75" customHeight="1" x14ac:dyDescent="0.2">
      <c r="A53" s="713"/>
      <c r="B53" s="715" t="s">
        <v>95</v>
      </c>
      <c r="C53" s="35" t="s">
        <v>360</v>
      </c>
      <c r="D53" s="47">
        <f>SUMIF('9'!$N$15:$N$70,"Student TransportationNON SETASIDE",'9'!$G$15:$G$70)</f>
        <v>0</v>
      </c>
      <c r="E53" s="48">
        <f>SUMIF('9'!$N$81:$N$105,"Student TransportationNON SETASIDE",'9'!$G$81:$G$105)</f>
        <v>0</v>
      </c>
      <c r="F53" s="48">
        <f>SUMIF('9'!$N$116:$N$140,"Student TransportationNON SETASIDE",'9'!$G$116:$G$140)</f>
        <v>0</v>
      </c>
      <c r="G53" s="48">
        <f>SUMIF('9'!$N$151:$N$175,"Student TransportationNON SETASIDE",'9'!$G$151:$G$175)</f>
        <v>0</v>
      </c>
      <c r="H53" s="48">
        <f>SUMIF('9'!$N$186:$N$210,"Student TransportationNON SETASIDE",'9'!$G$186:$G$210)</f>
        <v>0</v>
      </c>
      <c r="I53" s="48">
        <f>SUMIF('9'!$N$221:$N$245,"Student TransportationNON SETASIDE",'9'!$G$221:$G$245)</f>
        <v>0</v>
      </c>
      <c r="J53" s="174">
        <f t="shared" ref="J53:J63" si="5">SUM(D53:I53)</f>
        <v>0</v>
      </c>
      <c r="K53" s="701"/>
    </row>
    <row r="54" spans="1:11" x14ac:dyDescent="0.2">
      <c r="A54" s="713"/>
      <c r="B54" s="717"/>
      <c r="C54" s="36" t="s">
        <v>111</v>
      </c>
      <c r="D54" s="49">
        <f>SUMIF('9'!$N$15:$N$70,"Student TransportationParent Involvement",'9'!$G$15:$G$70)</f>
        <v>0</v>
      </c>
      <c r="E54" s="50">
        <f>SUMIF('9'!$N$81:$N$105,"Student TransportationParent Involvement",'9'!$G$81:$G$105)</f>
        <v>0</v>
      </c>
      <c r="F54" s="50">
        <f>SUMIF('9'!$N$116:$N$140,"Student TransportationParent Involvement",'9'!$G$116:$G$140)</f>
        <v>0</v>
      </c>
      <c r="G54" s="50">
        <f>SUMIF('9'!$N$151:$N$175,"Student TransportationParent Involvement",'9'!$G$151:$G$175)</f>
        <v>0</v>
      </c>
      <c r="H54" s="50">
        <f>SUMIF('9'!$N$186:$N$210,"Student TransportationParent Involvement",'9'!$G$186:$G$210)</f>
        <v>0</v>
      </c>
      <c r="I54" s="50">
        <f>SUMIF('9'!$N$221:$N$245,"Student TransportationParent Involvement",'9'!$G$221:$G$245)</f>
        <v>0</v>
      </c>
      <c r="J54" s="175">
        <f t="shared" si="5"/>
        <v>0</v>
      </c>
      <c r="K54" s="701"/>
    </row>
    <row r="55" spans="1:11" x14ac:dyDescent="0.2">
      <c r="A55" s="713"/>
      <c r="B55" s="717"/>
      <c r="C55" s="36" t="s">
        <v>583</v>
      </c>
      <c r="D55" s="49">
        <f>SUMIF('9'!$N$15:$N$70,"Student TransportationPriority Interventions",'9'!$G$15:$G$70)</f>
        <v>0</v>
      </c>
      <c r="E55" s="50">
        <f>SUMIF('9'!$N$81:$N$105,"Student TransportationPriority Interventions",'9'!$G$81:$G$105)</f>
        <v>0</v>
      </c>
      <c r="F55" s="50">
        <f>SUMIF('9'!$N$116:$N$140,"Student TransportationPriority Interventions",'9'!$G$116:$G$140)</f>
        <v>0</v>
      </c>
      <c r="G55" s="50">
        <f>SUMIF('9'!$N$151:$N$175,"Student TransportationPriority Interventions",'9'!$G$151:$G$175)</f>
        <v>0</v>
      </c>
      <c r="H55" s="50">
        <f>SUMIF('9'!$N$186:$N$210,"Student TransportationPriority Interventions",'9'!$G$186:$G$210)</f>
        <v>0</v>
      </c>
      <c r="I55" s="50">
        <f>SUMIF('9'!$N$221:$N$245,"Student TransportationPriority Interventions",'9'!$G$221:$G$245)</f>
        <v>0</v>
      </c>
      <c r="J55" s="175">
        <f t="shared" si="5"/>
        <v>0</v>
      </c>
      <c r="K55" s="701"/>
    </row>
    <row r="56" spans="1:11" x14ac:dyDescent="0.2">
      <c r="A56" s="713"/>
      <c r="B56" s="717"/>
      <c r="C56" s="36" t="s">
        <v>584</v>
      </c>
      <c r="D56" s="49">
        <f>SUMIF('9'!$N$15:$N$70,"Student TransportationFocus Interventions",'9'!$G$15:$G$70)</f>
        <v>0</v>
      </c>
      <c r="E56" s="50">
        <f>SUMIF('9'!$N$81:$N$105,"Student TransportationFocus Interventions",'9'!$G$81:$G$105)</f>
        <v>0</v>
      </c>
      <c r="F56" s="50">
        <f>SUMIF('9'!$N$116:$N$140,"Student TransportationFocus Interventions",'9'!$G$116:$G$140)</f>
        <v>0</v>
      </c>
      <c r="G56" s="50">
        <f>SUMIF('9'!$N$151:$N$175,"Student TransportationFocus Interventions",'9'!$G$151:$G$175)</f>
        <v>0</v>
      </c>
      <c r="H56" s="50">
        <f>SUMIF('9'!$N$186:$N$210,"Student TransportationFocus Interventions",'9'!$G$186:$G$210)</f>
        <v>0</v>
      </c>
      <c r="I56" s="50">
        <f>SUMIF('9'!$N$221:$N$245,"Student TransportationFocus Interventions",'9'!$G$221:$G$245)</f>
        <v>0</v>
      </c>
      <c r="J56" s="175">
        <f t="shared" si="5"/>
        <v>0</v>
      </c>
      <c r="K56" s="701"/>
    </row>
    <row r="57" spans="1:11" x14ac:dyDescent="0.2">
      <c r="A57" s="713"/>
      <c r="B57" s="717"/>
      <c r="C57" s="36" t="s">
        <v>585</v>
      </c>
      <c r="D57" s="49">
        <f>SUMIF('9'!$N$15:$N$70,"Student TransportationOther Supports",'9'!$G$15:$G$70)</f>
        <v>0</v>
      </c>
      <c r="E57" s="50">
        <f>SUMIF('9'!$N$81:$N$105,"Student TransportationOther Supports",'9'!$G$81:$G$105)</f>
        <v>0</v>
      </c>
      <c r="F57" s="50">
        <f>SUMIF('9'!$N$116:$N$140,"Student TransportationOther Supports",'9'!$G$116:$G$140)</f>
        <v>0</v>
      </c>
      <c r="G57" s="50">
        <f>SUMIF('9'!$N$151:$N$175,"Student TransportationOther Supports",'9'!$G$151:$G$175)</f>
        <v>0</v>
      </c>
      <c r="H57" s="50">
        <f>SUMIF('9'!$N$186:$N$210,"Student TransportationOther Supports",'9'!$G$186:$G$210)</f>
        <v>0</v>
      </c>
      <c r="I57" s="50">
        <f>SUMIF('9'!$N$221:$N$245,"Student TransportationOther Supports",'9'!$G$221:$G$245)</f>
        <v>0</v>
      </c>
      <c r="J57" s="175">
        <f t="shared" si="5"/>
        <v>0</v>
      </c>
      <c r="K57" s="701"/>
    </row>
    <row r="58" spans="1:11" x14ac:dyDescent="0.2">
      <c r="A58" s="713"/>
      <c r="B58" s="717"/>
      <c r="C58" s="36" t="s">
        <v>106</v>
      </c>
      <c r="D58" s="49">
        <f>SUMIF('9'!$N$15:$N$70,"Student TransportationFinancial Incentives",'9'!$G$15:$G$70)</f>
        <v>0</v>
      </c>
      <c r="E58" s="50">
        <f>SUMIF('9'!$N$81:$N$105,"Student TransportationFinancial Incentives",'9'!$G$81:$G$105)</f>
        <v>0</v>
      </c>
      <c r="F58" s="50">
        <f>SUMIF('9'!$N$116:$N$140,"Student TransportationFinancial Incentives",'9'!$G$116:$G$140)</f>
        <v>0</v>
      </c>
      <c r="G58" s="50">
        <f>SUMIF('9'!$N$151:$N$175,"Student TransportationFinancial Incentives",'9'!$G$151:$G$175)</f>
        <v>0</v>
      </c>
      <c r="H58" s="50">
        <f>SUMIF('9'!$N$186:$N$210,"Student TransportationFinancial Incentives",'9'!$G$186:$G$210)</f>
        <v>0</v>
      </c>
      <c r="I58" s="50">
        <f>SUMIF('9'!$N$221:$N$245,"Student TransportationFinancial Incentives",'9'!$G$221:$G$245)</f>
        <v>0</v>
      </c>
      <c r="J58" s="175">
        <f t="shared" si="5"/>
        <v>0</v>
      </c>
      <c r="K58" s="701"/>
    </row>
    <row r="59" spans="1:11" x14ac:dyDescent="0.2">
      <c r="A59" s="713"/>
      <c r="B59" s="717"/>
      <c r="C59" s="36" t="s">
        <v>141</v>
      </c>
      <c r="D59" s="49">
        <f>SUMIF('9'!$N$15:$N$70,"Student TransportationOff the Top Reserve",'9'!$G$15:$G$70)</f>
        <v>0</v>
      </c>
      <c r="E59" s="50">
        <f>SUMIF('9'!$N$81:$N$105,"Student TransportationOff the Top Reserve",'9'!$G$81:$G$105)</f>
        <v>0</v>
      </c>
      <c r="F59" s="50">
        <f>SUMIF('9'!$N$116:$N$140,"Student TransportationOff the Top Reserve",'9'!$G$116:$G$140)</f>
        <v>0</v>
      </c>
      <c r="G59" s="50">
        <f>SUMIF('9'!$N$151:$N$175,"Student TransportationOff the Top Reserve",'9'!$G$151:$G$175)</f>
        <v>0</v>
      </c>
      <c r="H59" s="50">
        <f>SUMIF('9'!$N$186:$N$210,"Student TransportationOff the Top Reserve",'9'!$G$186:$G$210)</f>
        <v>0</v>
      </c>
      <c r="I59" s="50">
        <f>SUMIF('9'!$N$221:$N$245,"Student TransportationOff the Top Reserve",'9'!$G$221:$G$245)</f>
        <v>0</v>
      </c>
      <c r="J59" s="175">
        <f t="shared" si="5"/>
        <v>0</v>
      </c>
      <c r="K59" s="701"/>
    </row>
    <row r="60" spans="1:11" x14ac:dyDescent="0.2">
      <c r="A60" s="713"/>
      <c r="B60" s="717"/>
      <c r="C60" s="36" t="s">
        <v>107</v>
      </c>
      <c r="D60" s="49">
        <f>SUMIF('9'!$N$15:$N$70,"Student TransportationHomeless",'9'!$G$15:$G$70)</f>
        <v>0</v>
      </c>
      <c r="E60" s="50">
        <f>SUMIF('9'!$N$81:$N$105,"Student TransportationHomeless",'9'!$G$81:$G$105)</f>
        <v>0</v>
      </c>
      <c r="F60" s="50">
        <f>SUMIF('9'!$N$116:$N$140,"Student TransportationHomeless",'9'!$G$116:$G$140)</f>
        <v>0</v>
      </c>
      <c r="G60" s="50">
        <f>SUMIF('9'!$N$151:$N$175,"Student TransportationHomeless",'9'!$G$151:$G$175)</f>
        <v>0</v>
      </c>
      <c r="H60" s="50">
        <f>SUMIF('9'!$N$186:$N$210,"Student TransportationHomeless",'9'!$G$186:$G$210)</f>
        <v>0</v>
      </c>
      <c r="I60" s="50">
        <f>SUMIF('9'!$N$221:$N$245,"Student TransportationHomeless",'9'!$G$221:$G$245)</f>
        <v>0</v>
      </c>
      <c r="J60" s="175">
        <f t="shared" si="5"/>
        <v>0</v>
      </c>
      <c r="K60" s="701"/>
    </row>
    <row r="61" spans="1:11" x14ac:dyDescent="0.2">
      <c r="A61" s="713"/>
      <c r="B61" s="717"/>
      <c r="C61" s="36" t="s">
        <v>110</v>
      </c>
      <c r="D61" s="49">
        <f>SUMIF('9'!$N$15:$N$70,"Student TransportationNeg. &amp; Delinquent",'9'!$G$15:$G$70)</f>
        <v>0</v>
      </c>
      <c r="E61" s="50">
        <f>SUMIF('9'!$N$81:$N$105,"Student TransportationNeg. &amp; Delinquent",'9'!$G$81:$G$105)</f>
        <v>0</v>
      </c>
      <c r="F61" s="50">
        <f>SUMIF('9'!$N$116:$N$140,"Student TransportationNeg. &amp; Delinquent",'9'!$G$116:$G$140)</f>
        <v>0</v>
      </c>
      <c r="G61" s="50">
        <f>SUMIF('9'!$N$151:$N$175,"Student TransportationNeg. &amp; Delinquent",'9'!$G$151:$G$175)</f>
        <v>0</v>
      </c>
      <c r="H61" s="50">
        <f>SUMIF('9'!$N$186:$N$210,"Student TransportationNeg. &amp; Delinquent",'9'!$G$186:$G$210)</f>
        <v>0</v>
      </c>
      <c r="I61" s="50">
        <f>SUMIF('9'!$N$221:$N$245,"Student TransportationNeg. &amp; Delinquent",'9'!$G$221:$G$245)</f>
        <v>0</v>
      </c>
      <c r="J61" s="175">
        <f t="shared" si="5"/>
        <v>0</v>
      </c>
      <c r="K61" s="701"/>
    </row>
    <row r="62" spans="1:11" x14ac:dyDescent="0.2">
      <c r="A62" s="713"/>
      <c r="B62" s="717"/>
      <c r="C62" s="36" t="s">
        <v>108</v>
      </c>
      <c r="D62" s="49">
        <f>SUMIF('9'!$N$15:$N$70,"Student TransportationEquitable Services",'9'!$G$15:$G$70)</f>
        <v>0</v>
      </c>
      <c r="E62" s="50">
        <f>SUMIF('9'!$N$81:$N$105,"Student TransportationEquitable Services",'9'!$G$81:$G$105)</f>
        <v>0</v>
      </c>
      <c r="F62" s="50">
        <f>SUMIF('9'!$N$116:$N$140,"Student TransportationEquitable Services",'9'!$G$116:$G$140)</f>
        <v>0</v>
      </c>
      <c r="G62" s="50">
        <f>SUMIF('9'!$N$151:$N$175,"Student TransportationEquitable Services",'9'!$G$151:$G$175)</f>
        <v>0</v>
      </c>
      <c r="H62" s="50">
        <f>SUMIF('9'!$N$186:$N$210,"Student TransportationEquitable Services",'9'!$G$186:$G$210)</f>
        <v>0</v>
      </c>
      <c r="I62" s="50">
        <f>SUMIF('9'!$N$221:$N$245,"Student TransportationEquitable Services",'9'!$G$221:$G$245)</f>
        <v>0</v>
      </c>
      <c r="J62" s="175">
        <f t="shared" si="5"/>
        <v>0</v>
      </c>
      <c r="K62" s="701"/>
    </row>
    <row r="63" spans="1:11" ht="13.5" thickBot="1" x14ac:dyDescent="0.25">
      <c r="A63" s="713"/>
      <c r="B63" s="763"/>
      <c r="C63" s="37" t="s">
        <v>112</v>
      </c>
      <c r="D63" s="38">
        <f t="shared" ref="D63:I63" si="6">SUM(D53:D62)</f>
        <v>0</v>
      </c>
      <c r="E63" s="38">
        <f t="shared" si="6"/>
        <v>0</v>
      </c>
      <c r="F63" s="38">
        <f t="shared" si="6"/>
        <v>0</v>
      </c>
      <c r="G63" s="38">
        <f t="shared" si="6"/>
        <v>0</v>
      </c>
      <c r="H63" s="38">
        <f t="shared" si="6"/>
        <v>0</v>
      </c>
      <c r="I63" s="38">
        <f t="shared" si="6"/>
        <v>0</v>
      </c>
      <c r="J63" s="41">
        <f t="shared" si="5"/>
        <v>0</v>
      </c>
      <c r="K63" s="701"/>
    </row>
    <row r="64" spans="1:11" ht="12.75" customHeight="1" x14ac:dyDescent="0.2">
      <c r="A64" s="713"/>
      <c r="B64" s="715" t="s">
        <v>52</v>
      </c>
      <c r="C64" s="35" t="s">
        <v>360</v>
      </c>
      <c r="D64" s="47">
        <f>SUMIF('9'!$N$15:$N$70,"OtherNON SETASIDE",'9'!$G$15:$G$70)</f>
        <v>0</v>
      </c>
      <c r="E64" s="48">
        <f>SUMIF('9'!$N$81:$N$105,"OtherNON SETASIDE",'9'!$G$81:$G$105)</f>
        <v>0</v>
      </c>
      <c r="F64" s="48">
        <f>SUMIF('9'!$N$116:$N$140,"OtherNON SETASIDE",'9'!$G$116:$G$140)</f>
        <v>0</v>
      </c>
      <c r="G64" s="48">
        <f>SUMIF('9'!$N$151:$N$175,"OtherNON SETASIDE",'9'!$G$151:$G$175)</f>
        <v>0</v>
      </c>
      <c r="H64" s="48">
        <f>SUMIF('9'!$N$186:$N$210,"OtherNON SETASIDE",'9'!$G$186:$G$210)</f>
        <v>0</v>
      </c>
      <c r="I64" s="48">
        <f>SUMIF('9'!$N$221:$N$245,"OtherNON SETASIDE",'9'!$G$221:$G$245)</f>
        <v>0</v>
      </c>
      <c r="J64" s="174">
        <f t="shared" si="0"/>
        <v>0</v>
      </c>
      <c r="K64" s="701"/>
    </row>
    <row r="65" spans="1:11" x14ac:dyDescent="0.2">
      <c r="A65" s="713"/>
      <c r="B65" s="717"/>
      <c r="C65" s="36" t="s">
        <v>111</v>
      </c>
      <c r="D65" s="49">
        <f>SUMIF('9'!$N$15:$N$70,"OtherParent Involvement",'9'!$G$15:$G$70)</f>
        <v>0</v>
      </c>
      <c r="E65" s="50">
        <f>SUMIF('9'!$N$81:$N$105,"OtherParent Involvement",'9'!$G$81:$G$105)</f>
        <v>0</v>
      </c>
      <c r="F65" s="50">
        <f>SUMIF('9'!$N$116:$N$140,"OtherParent Involvement",'9'!$G$116:$G$140)</f>
        <v>0</v>
      </c>
      <c r="G65" s="50">
        <f>SUMIF('9'!$N$151:$N$175,"OtherParent Involvement",'9'!$G$151:$G$175)</f>
        <v>0</v>
      </c>
      <c r="H65" s="50">
        <f>SUMIF('9'!$N$186:$N$210,"OtherParent Involvement",'9'!$G$186:$G$210)</f>
        <v>0</v>
      </c>
      <c r="I65" s="50">
        <f>SUMIF('9'!$N$221:$N$245,"OtherParent Involvement",'9'!$G$221:$G$245)</f>
        <v>0</v>
      </c>
      <c r="J65" s="175">
        <f t="shared" si="0"/>
        <v>0</v>
      </c>
      <c r="K65" s="701"/>
    </row>
    <row r="66" spans="1:11" x14ac:dyDescent="0.2">
      <c r="A66" s="713"/>
      <c r="B66" s="717"/>
      <c r="C66" s="36" t="s">
        <v>583</v>
      </c>
      <c r="D66" s="49">
        <f>SUMIF('9'!$N$15:$N$70,"OtherPriority Interventions",'9'!$G$15:$G$70)</f>
        <v>0</v>
      </c>
      <c r="E66" s="50">
        <f>SUMIF('9'!$N$81:$N$105,"OtherPriority Interventions",'9'!$G$81:$G$105)</f>
        <v>0</v>
      </c>
      <c r="F66" s="50">
        <f>SUMIF('9'!$N$116:$N$140,"OtherPriority Interventions",'9'!$G$116:$G$140)</f>
        <v>0</v>
      </c>
      <c r="G66" s="50">
        <f>SUMIF('9'!$N$151:$N$175,"OtherPriority Interventions",'9'!$G$151:$G$175)</f>
        <v>0</v>
      </c>
      <c r="H66" s="50">
        <f>SUMIF('9'!$N$186:$N$210,"OtherPriority Interventions",'9'!$G$186:$G$210)</f>
        <v>0</v>
      </c>
      <c r="I66" s="50">
        <f>SUMIF('9'!$N$221:$N$245,"OtherPriority Interventions",'9'!$G$221:$G$245)</f>
        <v>0</v>
      </c>
      <c r="J66" s="175">
        <f t="shared" si="0"/>
        <v>0</v>
      </c>
      <c r="K66" s="701"/>
    </row>
    <row r="67" spans="1:11" x14ac:dyDescent="0.2">
      <c r="A67" s="713"/>
      <c r="B67" s="717"/>
      <c r="C67" s="36" t="s">
        <v>584</v>
      </c>
      <c r="D67" s="49">
        <f>SUMIF('9'!$N$15:$N$70,"OtherFocus Interventions",'9'!$G$15:$G$70)</f>
        <v>0</v>
      </c>
      <c r="E67" s="50">
        <f>SUMIF('9'!$N$81:$N$105,"OtherFocus Interventions",'9'!$G$81:$G$105)</f>
        <v>0</v>
      </c>
      <c r="F67" s="50">
        <f>SUMIF('9'!$N$116:$N$140,"OtherFocus Interventions",'9'!$G$116:$G$140)</f>
        <v>0</v>
      </c>
      <c r="G67" s="50">
        <f>SUMIF('9'!$N$151:$N$175,"OtherFocus Interventions",'9'!$G$151:$G$175)</f>
        <v>0</v>
      </c>
      <c r="H67" s="50">
        <f>SUMIF('9'!$N$186:$N$210,"OtherFocus Interventions",'9'!$G$186:$G$210)</f>
        <v>0</v>
      </c>
      <c r="I67" s="50">
        <f>SUMIF('9'!$N$221:$N$245,"OtherFocus Interventions",'9'!$G$221:$G$245)</f>
        <v>0</v>
      </c>
      <c r="J67" s="175">
        <f t="shared" si="0"/>
        <v>0</v>
      </c>
      <c r="K67" s="701"/>
    </row>
    <row r="68" spans="1:11" x14ac:dyDescent="0.2">
      <c r="A68" s="713"/>
      <c r="B68" s="717"/>
      <c r="C68" s="36" t="s">
        <v>585</v>
      </c>
      <c r="D68" s="49">
        <f>SUMIF('9'!$N$15:$N$70,"OtherOther Supports",'9'!$G$15:$G$70)</f>
        <v>0</v>
      </c>
      <c r="E68" s="50">
        <f>SUMIF('9'!$N$81:$N$105,"OtherOther Supports",'9'!$G$81:$G$105)</f>
        <v>0</v>
      </c>
      <c r="F68" s="50">
        <f>SUMIF('9'!$N$116:$N$140,"OtherOther Supports",'9'!$G$116:$G$140)</f>
        <v>0</v>
      </c>
      <c r="G68" s="50">
        <f>SUMIF('9'!$N$151:$N$175,"OtherOther Supports",'9'!$G$151:$G$175)</f>
        <v>0</v>
      </c>
      <c r="H68" s="50">
        <f>SUMIF('9'!$N$186:$N$210,"OtherOther Supports",'9'!$G$186:$G$210)</f>
        <v>0</v>
      </c>
      <c r="I68" s="50">
        <f>SUMIF('9'!$N$221:$N$245,"OtherOther Supports",'9'!$G$221:$G$245)</f>
        <v>0</v>
      </c>
      <c r="J68" s="175">
        <f t="shared" si="0"/>
        <v>0</v>
      </c>
      <c r="K68" s="701"/>
    </row>
    <row r="69" spans="1:11" x14ac:dyDescent="0.2">
      <c r="A69" s="713"/>
      <c r="B69" s="717"/>
      <c r="C69" s="36" t="s">
        <v>106</v>
      </c>
      <c r="D69" s="49">
        <f>SUMIF('9'!$N$15:$N$70,"OtherFinancial Incentives",'9'!$G$15:$G$70)</f>
        <v>0</v>
      </c>
      <c r="E69" s="50">
        <f>SUMIF('9'!$N$81:$N$105,"OtherFinancial Incentives",'9'!$G$81:$G$105)</f>
        <v>0</v>
      </c>
      <c r="F69" s="50">
        <f>SUMIF('9'!$N$116:$N$140,"OtherFinancial Incentives",'9'!$G$116:$G$140)</f>
        <v>0</v>
      </c>
      <c r="G69" s="50">
        <f>SUMIF('9'!$N$151:$N$175,"OtherFinancial Incentives",'9'!$G$151:$G$175)</f>
        <v>0</v>
      </c>
      <c r="H69" s="50">
        <f>SUMIF('9'!$N$186:$N$210,"OtherFinancial Incentives",'9'!$G$186:$G$210)</f>
        <v>0</v>
      </c>
      <c r="I69" s="50">
        <f>SUMIF('9'!$N$221:$N$245,"OtherFinancial Incentives",'9'!$G$221:$G$245)</f>
        <v>0</v>
      </c>
      <c r="J69" s="175">
        <f t="shared" si="0"/>
        <v>0</v>
      </c>
      <c r="K69" s="701"/>
    </row>
    <row r="70" spans="1:11" x14ac:dyDescent="0.2">
      <c r="A70" s="713"/>
      <c r="B70" s="717"/>
      <c r="C70" s="36" t="s">
        <v>141</v>
      </c>
      <c r="D70" s="49">
        <f>SUMIF('9'!$N$15:$N$70,"OtherOff the Top Reserve",'9'!$G$15:$G$70)</f>
        <v>0</v>
      </c>
      <c r="E70" s="50">
        <f>SUMIF('9'!$N$81:$N$105,"OtherOff the Top Reserve",'9'!$G$81:$G$105)</f>
        <v>0</v>
      </c>
      <c r="F70" s="50">
        <f>SUMIF('9'!$N$116:$N$140,"OtherOff the Top Reserve",'9'!$G$116:$G$140)</f>
        <v>0</v>
      </c>
      <c r="G70" s="50">
        <f>SUMIF('9'!$N$151:$N$175,"OtherOff the Top Reserve",'9'!$G$151:$G$175)</f>
        <v>0</v>
      </c>
      <c r="H70" s="50">
        <f>SUMIF('9'!$N$186:$N$210,"OtherOff the Top Reserve",'9'!$G$186:$G$210)</f>
        <v>0</v>
      </c>
      <c r="I70" s="50">
        <f>SUMIF('9'!$N$221:$N$245,"OtherOff the Top Reserve",'9'!$G$221:$G$245)</f>
        <v>0</v>
      </c>
      <c r="J70" s="175">
        <f t="shared" si="0"/>
        <v>0</v>
      </c>
      <c r="K70" s="701"/>
    </row>
    <row r="71" spans="1:11" x14ac:dyDescent="0.2">
      <c r="A71" s="713"/>
      <c r="B71" s="717"/>
      <c r="C71" s="36" t="s">
        <v>107</v>
      </c>
      <c r="D71" s="49">
        <f>SUMIF('9'!$N$15:$N$70,"OtherHomeless",'9'!$G$15:$G$70)</f>
        <v>0</v>
      </c>
      <c r="E71" s="50">
        <f>SUMIF('9'!$N$81:$N$105,"OtherHomeless",'9'!$G$81:$G$105)</f>
        <v>0</v>
      </c>
      <c r="F71" s="50">
        <f>SUMIF('9'!$N$116:$N$140,"OtherHomeless",'9'!$G$116:$G$140)</f>
        <v>0</v>
      </c>
      <c r="G71" s="50">
        <f>SUMIF('9'!$N$151:$N$175,"OtherHomeless",'9'!$G$151:$G$175)</f>
        <v>0</v>
      </c>
      <c r="H71" s="50">
        <f>SUMIF('9'!$N$186:$N$210,"OtherHomeless",'9'!$G$186:$G$210)</f>
        <v>0</v>
      </c>
      <c r="I71" s="50">
        <f>SUMIF('9'!$N$221:$N$245,"OtherHomeless",'9'!$G$221:$G$245)</f>
        <v>0</v>
      </c>
      <c r="J71" s="175">
        <f t="shared" si="0"/>
        <v>0</v>
      </c>
      <c r="K71" s="701"/>
    </row>
    <row r="72" spans="1:11" x14ac:dyDescent="0.2">
      <c r="A72" s="713"/>
      <c r="B72" s="717"/>
      <c r="C72" s="36" t="s">
        <v>110</v>
      </c>
      <c r="D72" s="49">
        <f>SUMIF('9'!$N$15:$N$70,"OtherNeg. &amp; Delinquent",'9'!$G$15:$G$70)</f>
        <v>0</v>
      </c>
      <c r="E72" s="50">
        <f>SUMIF('9'!$N$81:$N$105,"OtherNeg. &amp; Delinquent",'9'!$G$81:$G$105)</f>
        <v>0</v>
      </c>
      <c r="F72" s="50">
        <f>SUMIF('9'!$N$116:$N$140,"OtherNeg. &amp; Delinquent",'9'!$G$116:$G$140)</f>
        <v>0</v>
      </c>
      <c r="G72" s="50">
        <f>SUMIF('9'!$N$151:$N$175,"OtherNeg. &amp; Delinquent",'9'!$G$151:$G$175)</f>
        <v>0</v>
      </c>
      <c r="H72" s="50">
        <f>SUMIF('9'!$N$186:$N$210,"OtherNeg. &amp; Delinquent",'9'!$G$186:$G$210)</f>
        <v>0</v>
      </c>
      <c r="I72" s="50">
        <f>SUMIF('9'!$N$221:$N$245,"OtherNeg. &amp; Delinquent",'9'!$G$221:$G$245)</f>
        <v>0</v>
      </c>
      <c r="J72" s="175">
        <f t="shared" si="0"/>
        <v>0</v>
      </c>
      <c r="K72" s="701"/>
    </row>
    <row r="73" spans="1:11" x14ac:dyDescent="0.2">
      <c r="A73" s="713"/>
      <c r="B73" s="717"/>
      <c r="C73" s="36" t="s">
        <v>108</v>
      </c>
      <c r="D73" s="49">
        <f>SUMIF('9'!$N$15:$N$70,"OtherEquitable Services",'9'!$G$15:$G$70)</f>
        <v>0</v>
      </c>
      <c r="E73" s="50">
        <f>SUMIF('9'!$N$81:$N$105,"OtherEquitable Services",'9'!$G$81:$G$105)</f>
        <v>0</v>
      </c>
      <c r="F73" s="50">
        <f>SUMIF('9'!$N$116:$N$140,"OtherEquitable Services",'9'!$G$116:$G$140)</f>
        <v>0</v>
      </c>
      <c r="G73" s="50">
        <f>SUMIF('9'!$N$151:$N$175,"OtherEquitable Services",'9'!$G$151:$G$175)</f>
        <v>0</v>
      </c>
      <c r="H73" s="50">
        <f>SUMIF('9'!$N$186:$N$210,"OtherEquitable Services",'9'!$G$186:$G$210)</f>
        <v>0</v>
      </c>
      <c r="I73" s="50">
        <f>SUMIF('9'!$N$221:$N$245,"OtherEquitable Services",'9'!$G$221:$G$245)</f>
        <v>0</v>
      </c>
      <c r="J73" s="175">
        <f t="shared" si="0"/>
        <v>0</v>
      </c>
      <c r="K73" s="701"/>
    </row>
    <row r="74" spans="1:11" ht="13.5" thickBot="1" x14ac:dyDescent="0.25">
      <c r="A74" s="713"/>
      <c r="B74" s="763"/>
      <c r="C74" s="37" t="s">
        <v>112</v>
      </c>
      <c r="D74" s="38">
        <f t="shared" ref="D74:I74" si="7">SUM(D64:D73)</f>
        <v>0</v>
      </c>
      <c r="E74" s="38">
        <f t="shared" si="7"/>
        <v>0</v>
      </c>
      <c r="F74" s="38">
        <f t="shared" si="7"/>
        <v>0</v>
      </c>
      <c r="G74" s="38">
        <f t="shared" si="7"/>
        <v>0</v>
      </c>
      <c r="H74" s="38">
        <f t="shared" si="7"/>
        <v>0</v>
      </c>
      <c r="I74" s="38">
        <f t="shared" si="7"/>
        <v>0</v>
      </c>
      <c r="J74" s="41">
        <f t="shared" si="0"/>
        <v>0</v>
      </c>
      <c r="K74" s="701"/>
    </row>
    <row r="75" spans="1:11" ht="12.75" customHeight="1" x14ac:dyDescent="0.2">
      <c r="A75" s="713"/>
      <c r="B75" s="719" t="s">
        <v>113</v>
      </c>
      <c r="C75" s="43" t="s">
        <v>360</v>
      </c>
      <c r="D75" s="51">
        <f t="shared" ref="D75:I75" si="8">SUM(D9,D20,D31,D42,D53,D64)</f>
        <v>0</v>
      </c>
      <c r="E75" s="52">
        <f t="shared" si="8"/>
        <v>0</v>
      </c>
      <c r="F75" s="52">
        <f t="shared" si="8"/>
        <v>0</v>
      </c>
      <c r="G75" s="52">
        <f t="shared" si="8"/>
        <v>0</v>
      </c>
      <c r="H75" s="52">
        <f t="shared" si="8"/>
        <v>0</v>
      </c>
      <c r="I75" s="52">
        <f t="shared" si="8"/>
        <v>0</v>
      </c>
      <c r="J75" s="44">
        <f t="shared" ref="J75:J85" si="9">SUM(D75:I75)</f>
        <v>0</v>
      </c>
      <c r="K75" s="701"/>
    </row>
    <row r="76" spans="1:11" x14ac:dyDescent="0.2">
      <c r="A76" s="713"/>
      <c r="B76" s="721"/>
      <c r="C76" s="45" t="s">
        <v>111</v>
      </c>
      <c r="D76" s="53">
        <f t="shared" ref="D76:I76" si="10">SUM(D10,D21,D32,D43,D54,D65)</f>
        <v>0</v>
      </c>
      <c r="E76" s="54">
        <f t="shared" si="10"/>
        <v>0</v>
      </c>
      <c r="F76" s="54">
        <f t="shared" si="10"/>
        <v>0</v>
      </c>
      <c r="G76" s="54">
        <f t="shared" si="10"/>
        <v>0</v>
      </c>
      <c r="H76" s="54">
        <f t="shared" si="10"/>
        <v>0</v>
      </c>
      <c r="I76" s="54">
        <f t="shared" si="10"/>
        <v>0</v>
      </c>
      <c r="J76" s="46">
        <f t="shared" si="9"/>
        <v>0</v>
      </c>
      <c r="K76" s="701"/>
    </row>
    <row r="77" spans="1:11" x14ac:dyDescent="0.2">
      <c r="A77" s="713"/>
      <c r="B77" s="721"/>
      <c r="C77" s="45" t="s">
        <v>583</v>
      </c>
      <c r="D77" s="53">
        <f t="shared" ref="D77:I77" si="11">SUM(D11,D22,D33,D44,D55,D66)</f>
        <v>0</v>
      </c>
      <c r="E77" s="54">
        <f t="shared" si="11"/>
        <v>0</v>
      </c>
      <c r="F77" s="54">
        <f t="shared" si="11"/>
        <v>0</v>
      </c>
      <c r="G77" s="54">
        <f t="shared" si="11"/>
        <v>0</v>
      </c>
      <c r="H77" s="54">
        <f t="shared" si="11"/>
        <v>0</v>
      </c>
      <c r="I77" s="54">
        <f t="shared" si="11"/>
        <v>0</v>
      </c>
      <c r="J77" s="46">
        <f t="shared" si="9"/>
        <v>0</v>
      </c>
      <c r="K77" s="701"/>
    </row>
    <row r="78" spans="1:11" x14ac:dyDescent="0.2">
      <c r="A78" s="713"/>
      <c r="B78" s="721"/>
      <c r="C78" s="45" t="s">
        <v>584</v>
      </c>
      <c r="D78" s="53">
        <f t="shared" ref="D78:I78" si="12">SUM(D12,D23,D34,D45,D56,D67)</f>
        <v>0</v>
      </c>
      <c r="E78" s="54">
        <f t="shared" si="12"/>
        <v>0</v>
      </c>
      <c r="F78" s="54">
        <f t="shared" si="12"/>
        <v>0</v>
      </c>
      <c r="G78" s="54">
        <f t="shared" si="12"/>
        <v>0</v>
      </c>
      <c r="H78" s="54">
        <f t="shared" si="12"/>
        <v>0</v>
      </c>
      <c r="I78" s="54">
        <f t="shared" si="12"/>
        <v>0</v>
      </c>
      <c r="J78" s="46">
        <f t="shared" si="9"/>
        <v>0</v>
      </c>
      <c r="K78" s="701"/>
    </row>
    <row r="79" spans="1:11" x14ac:dyDescent="0.2">
      <c r="A79" s="713"/>
      <c r="B79" s="721"/>
      <c r="C79" s="45" t="s">
        <v>585</v>
      </c>
      <c r="D79" s="53">
        <f t="shared" ref="D79:I79" si="13">SUM(D13,D24,D35,D46,D57,D68)</f>
        <v>0</v>
      </c>
      <c r="E79" s="54">
        <f t="shared" si="13"/>
        <v>0</v>
      </c>
      <c r="F79" s="54">
        <f t="shared" si="13"/>
        <v>0</v>
      </c>
      <c r="G79" s="54">
        <f t="shared" si="13"/>
        <v>0</v>
      </c>
      <c r="H79" s="54">
        <f t="shared" si="13"/>
        <v>0</v>
      </c>
      <c r="I79" s="54">
        <f t="shared" si="13"/>
        <v>0</v>
      </c>
      <c r="J79" s="46">
        <f t="shared" si="9"/>
        <v>0</v>
      </c>
      <c r="K79" s="701"/>
    </row>
    <row r="80" spans="1:11" x14ac:dyDescent="0.2">
      <c r="A80" s="713"/>
      <c r="B80" s="721"/>
      <c r="C80" s="45" t="s">
        <v>106</v>
      </c>
      <c r="D80" s="53">
        <f t="shared" ref="D80:I80" si="14">SUM(D14,D25,D36,D47,D58,D69)</f>
        <v>0</v>
      </c>
      <c r="E80" s="54">
        <f t="shared" si="14"/>
        <v>0</v>
      </c>
      <c r="F80" s="54">
        <f t="shared" si="14"/>
        <v>0</v>
      </c>
      <c r="G80" s="54">
        <f t="shared" si="14"/>
        <v>0</v>
      </c>
      <c r="H80" s="54">
        <f t="shared" si="14"/>
        <v>0</v>
      </c>
      <c r="I80" s="54">
        <f t="shared" si="14"/>
        <v>0</v>
      </c>
      <c r="J80" s="46">
        <f t="shared" si="9"/>
        <v>0</v>
      </c>
      <c r="K80" s="701"/>
    </row>
    <row r="81" spans="1:11" x14ac:dyDescent="0.2">
      <c r="A81" s="713"/>
      <c r="B81" s="721"/>
      <c r="C81" s="45" t="s">
        <v>141</v>
      </c>
      <c r="D81" s="53">
        <f t="shared" ref="D81:I81" si="15">SUM(D15,D26,D37,D48,D59,D70)</f>
        <v>0</v>
      </c>
      <c r="E81" s="54">
        <f t="shared" si="15"/>
        <v>0</v>
      </c>
      <c r="F81" s="54">
        <f t="shared" si="15"/>
        <v>0</v>
      </c>
      <c r="G81" s="54">
        <f t="shared" si="15"/>
        <v>0</v>
      </c>
      <c r="H81" s="54">
        <f t="shared" si="15"/>
        <v>0</v>
      </c>
      <c r="I81" s="54">
        <f t="shared" si="15"/>
        <v>0</v>
      </c>
      <c r="J81" s="46">
        <f t="shared" si="9"/>
        <v>0</v>
      </c>
      <c r="K81" s="701"/>
    </row>
    <row r="82" spans="1:11" x14ac:dyDescent="0.2">
      <c r="A82" s="713"/>
      <c r="B82" s="721"/>
      <c r="C82" s="45" t="s">
        <v>107</v>
      </c>
      <c r="D82" s="53">
        <f t="shared" ref="D82:I82" si="16">SUM(D16,D27,D38,D49,D60,D71)</f>
        <v>0</v>
      </c>
      <c r="E82" s="54">
        <f t="shared" si="16"/>
        <v>0</v>
      </c>
      <c r="F82" s="54">
        <f t="shared" si="16"/>
        <v>0</v>
      </c>
      <c r="G82" s="54">
        <f t="shared" si="16"/>
        <v>0</v>
      </c>
      <c r="H82" s="54">
        <f t="shared" si="16"/>
        <v>0</v>
      </c>
      <c r="I82" s="54">
        <f t="shared" si="16"/>
        <v>0</v>
      </c>
      <c r="J82" s="46">
        <f t="shared" si="9"/>
        <v>0</v>
      </c>
      <c r="K82" s="701"/>
    </row>
    <row r="83" spans="1:11" x14ac:dyDescent="0.2">
      <c r="A83" s="713"/>
      <c r="B83" s="721"/>
      <c r="C83" s="45" t="s">
        <v>110</v>
      </c>
      <c r="D83" s="53">
        <f t="shared" ref="D83:I83" si="17">SUM(D17,D28,D39,D50,D61,D72)</f>
        <v>0</v>
      </c>
      <c r="E83" s="54">
        <f t="shared" si="17"/>
        <v>0</v>
      </c>
      <c r="F83" s="54">
        <f t="shared" si="17"/>
        <v>0</v>
      </c>
      <c r="G83" s="54">
        <f t="shared" si="17"/>
        <v>0</v>
      </c>
      <c r="H83" s="54">
        <f t="shared" si="17"/>
        <v>0</v>
      </c>
      <c r="I83" s="54">
        <f t="shared" si="17"/>
        <v>0</v>
      </c>
      <c r="J83" s="46">
        <f t="shared" si="9"/>
        <v>0</v>
      </c>
      <c r="K83" s="701"/>
    </row>
    <row r="84" spans="1:11" x14ac:dyDescent="0.2">
      <c r="A84" s="713"/>
      <c r="B84" s="721"/>
      <c r="C84" s="45" t="s">
        <v>108</v>
      </c>
      <c r="D84" s="53">
        <f t="shared" ref="D84:I84" si="18">SUM(D18,D29,D40,D51,D62,D73)</f>
        <v>0</v>
      </c>
      <c r="E84" s="54">
        <f t="shared" si="18"/>
        <v>0</v>
      </c>
      <c r="F84" s="54">
        <f t="shared" si="18"/>
        <v>0</v>
      </c>
      <c r="G84" s="54">
        <f t="shared" si="18"/>
        <v>0</v>
      </c>
      <c r="H84" s="54">
        <f t="shared" si="18"/>
        <v>0</v>
      </c>
      <c r="I84" s="54">
        <f t="shared" si="18"/>
        <v>0</v>
      </c>
      <c r="J84" s="46">
        <f t="shared" si="9"/>
        <v>0</v>
      </c>
      <c r="K84" s="701"/>
    </row>
    <row r="85" spans="1:11" ht="13.5" thickBot="1" x14ac:dyDescent="0.25">
      <c r="A85" s="714"/>
      <c r="B85" s="764"/>
      <c r="C85" s="39" t="s">
        <v>114</v>
      </c>
      <c r="D85" s="40">
        <f t="shared" ref="D85:I85" si="19">SUM(D75:D84)</f>
        <v>0</v>
      </c>
      <c r="E85" s="40">
        <f t="shared" si="19"/>
        <v>0</v>
      </c>
      <c r="F85" s="40">
        <f t="shared" si="19"/>
        <v>0</v>
      </c>
      <c r="G85" s="40">
        <f t="shared" si="19"/>
        <v>0</v>
      </c>
      <c r="H85" s="40">
        <f t="shared" si="19"/>
        <v>0</v>
      </c>
      <c r="I85" s="40">
        <f t="shared" si="19"/>
        <v>0</v>
      </c>
      <c r="J85" s="42">
        <f t="shared" si="9"/>
        <v>0</v>
      </c>
      <c r="K85" s="702"/>
    </row>
    <row r="86" spans="1:11" ht="13.5" thickTop="1" x14ac:dyDescent="0.2"/>
  </sheetData>
  <sheetProtection password="E686" sheet="1" objects="1" scenarios="1"/>
  <mergeCells count="18">
    <mergeCell ref="K1:K85"/>
    <mergeCell ref="G5:G8"/>
    <mergeCell ref="H5:H8"/>
    <mergeCell ref="I5:I8"/>
    <mergeCell ref="B31:B41"/>
    <mergeCell ref="B9:B19"/>
    <mergeCell ref="B20:B30"/>
    <mergeCell ref="B75:B85"/>
    <mergeCell ref="A9:A85"/>
    <mergeCell ref="A1:C8"/>
    <mergeCell ref="J5:J8"/>
    <mergeCell ref="D5:D8"/>
    <mergeCell ref="E5:E8"/>
    <mergeCell ref="F5:F8"/>
    <mergeCell ref="D1:J4"/>
    <mergeCell ref="B64:B74"/>
    <mergeCell ref="B42:B52"/>
    <mergeCell ref="B53:B63"/>
  </mergeCells>
  <conditionalFormatting sqref="K1">
    <cfRule type="cellIs" dxfId="48" priority="1" operator="equal">
      <formula>"The total amount for which you have budgeted does not match the unconsolidated portion of the LEA's Title I, Part A allocation."</formula>
    </cfRule>
  </conditionalFormatting>
  <pageMargins left="0.75" right="0.75" top="1" bottom="1" header="0.5" footer="0.5"/>
  <pageSetup scale="57" orientation="portrait" r:id="rId1"/>
  <headerFooter alignWithMargins="0">
    <oddHeader>&amp;LFFY 2012 Consolidated Application&amp;C&amp;A&amp;R&amp;P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87"/>
  <sheetViews>
    <sheetView topLeftCell="A53" zoomScaleNormal="100" workbookViewId="0">
      <selection activeCell="D33" sqref="D33:I33"/>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1" ht="12.75" customHeight="1" thickTop="1" x14ac:dyDescent="0.2">
      <c r="A1" s="443" t="s">
        <v>568</v>
      </c>
      <c r="B1" s="444"/>
      <c r="C1" s="444"/>
      <c r="D1" s="444"/>
      <c r="E1" s="444"/>
      <c r="F1" s="444"/>
      <c r="G1" s="444"/>
      <c r="H1" s="444"/>
      <c r="I1" s="444"/>
      <c r="J1" s="445"/>
      <c r="K1" s="97"/>
    </row>
    <row r="2" spans="1:11" ht="12.75" customHeight="1" x14ac:dyDescent="0.2">
      <c r="A2" s="446"/>
      <c r="B2" s="447"/>
      <c r="C2" s="447"/>
      <c r="D2" s="447"/>
      <c r="E2" s="447"/>
      <c r="F2" s="447"/>
      <c r="G2" s="447"/>
      <c r="H2" s="447"/>
      <c r="I2" s="447"/>
      <c r="J2" s="448"/>
      <c r="K2" s="98"/>
    </row>
    <row r="3" spans="1:11" ht="12.75" customHeight="1" x14ac:dyDescent="0.2">
      <c r="A3" s="543" t="s">
        <v>569</v>
      </c>
      <c r="B3" s="544"/>
      <c r="C3" s="544"/>
      <c r="D3" s="544"/>
      <c r="E3" s="544"/>
      <c r="F3" s="544"/>
      <c r="G3" s="544"/>
      <c r="H3" s="544"/>
      <c r="I3" s="544"/>
      <c r="J3" s="545"/>
      <c r="K3" s="98"/>
    </row>
    <row r="4" spans="1:11" ht="12.75" customHeight="1" x14ac:dyDescent="0.2">
      <c r="A4" s="573"/>
      <c r="B4" s="574"/>
      <c r="C4" s="574"/>
      <c r="D4" s="574"/>
      <c r="E4" s="574"/>
      <c r="F4" s="574"/>
      <c r="G4" s="574"/>
      <c r="H4" s="574"/>
      <c r="I4" s="574"/>
      <c r="J4" s="575"/>
      <c r="K4" s="98"/>
    </row>
    <row r="5" spans="1:11" ht="12.75" customHeight="1" x14ac:dyDescent="0.2">
      <c r="A5" s="573"/>
      <c r="B5" s="574"/>
      <c r="C5" s="574"/>
      <c r="D5" s="574"/>
      <c r="E5" s="574"/>
      <c r="F5" s="574"/>
      <c r="G5" s="574"/>
      <c r="H5" s="574"/>
      <c r="I5" s="574"/>
      <c r="J5" s="575"/>
      <c r="K5" s="98"/>
    </row>
    <row r="6" spans="1:11" ht="12.75" customHeight="1" x14ac:dyDescent="0.2">
      <c r="A6" s="546"/>
      <c r="B6" s="547"/>
      <c r="C6" s="547"/>
      <c r="D6" s="547"/>
      <c r="E6" s="547"/>
      <c r="F6" s="547"/>
      <c r="G6" s="547"/>
      <c r="H6" s="547"/>
      <c r="I6" s="547"/>
      <c r="J6" s="548"/>
      <c r="K6" s="98"/>
    </row>
    <row r="7" spans="1:11" ht="12.75" customHeight="1" x14ac:dyDescent="0.2">
      <c r="A7" s="576" t="s">
        <v>257</v>
      </c>
      <c r="B7" s="577"/>
      <c r="C7" s="577"/>
      <c r="D7" s="577"/>
      <c r="E7" s="577"/>
      <c r="F7" s="577"/>
      <c r="G7" s="577"/>
      <c r="H7" s="577"/>
      <c r="I7" s="577"/>
      <c r="J7" s="578"/>
      <c r="K7" s="98"/>
    </row>
    <row r="8" spans="1:11" ht="12.75" customHeight="1" x14ac:dyDescent="0.2">
      <c r="A8" s="579"/>
      <c r="B8" s="580"/>
      <c r="C8" s="580"/>
      <c r="D8" s="580"/>
      <c r="E8" s="580"/>
      <c r="F8" s="580"/>
      <c r="G8" s="580"/>
      <c r="H8" s="580"/>
      <c r="I8" s="580"/>
      <c r="J8" s="581"/>
      <c r="K8" s="98"/>
    </row>
    <row r="9" spans="1:11" ht="12.75" customHeight="1" x14ac:dyDescent="0.2">
      <c r="A9" s="579"/>
      <c r="B9" s="580"/>
      <c r="C9" s="580"/>
      <c r="D9" s="580"/>
      <c r="E9" s="580"/>
      <c r="F9" s="580"/>
      <c r="G9" s="580"/>
      <c r="H9" s="580"/>
      <c r="I9" s="580"/>
      <c r="J9" s="581"/>
      <c r="K9" s="98"/>
    </row>
    <row r="10" spans="1:11" ht="12.75" customHeight="1" x14ac:dyDescent="0.2">
      <c r="A10" s="579"/>
      <c r="B10" s="580"/>
      <c r="C10" s="580"/>
      <c r="D10" s="580"/>
      <c r="E10" s="580"/>
      <c r="F10" s="580"/>
      <c r="G10" s="580"/>
      <c r="H10" s="580"/>
      <c r="I10" s="580"/>
      <c r="J10" s="581"/>
      <c r="K10" s="98"/>
    </row>
    <row r="11" spans="1:11" ht="12.75" customHeight="1" x14ac:dyDescent="0.2">
      <c r="A11" s="579"/>
      <c r="B11" s="580"/>
      <c r="C11" s="580"/>
      <c r="D11" s="580"/>
      <c r="E11" s="580"/>
      <c r="F11" s="580"/>
      <c r="G11" s="580"/>
      <c r="H11" s="580"/>
      <c r="I11" s="580"/>
      <c r="J11" s="581"/>
      <c r="K11" s="98"/>
    </row>
    <row r="12" spans="1:11" ht="12.75" customHeight="1" x14ac:dyDescent="0.2">
      <c r="A12" s="579"/>
      <c r="B12" s="580"/>
      <c r="C12" s="580"/>
      <c r="D12" s="580"/>
      <c r="E12" s="580"/>
      <c r="F12" s="580"/>
      <c r="G12" s="580"/>
      <c r="H12" s="580"/>
      <c r="I12" s="580"/>
      <c r="J12" s="581"/>
      <c r="K12" s="98"/>
    </row>
    <row r="13" spans="1:11" ht="12.75" customHeight="1" x14ac:dyDescent="0.2">
      <c r="A13" s="579"/>
      <c r="B13" s="580"/>
      <c r="C13" s="580"/>
      <c r="D13" s="580"/>
      <c r="E13" s="580"/>
      <c r="F13" s="580"/>
      <c r="G13" s="580"/>
      <c r="H13" s="580"/>
      <c r="I13" s="580"/>
      <c r="J13" s="581"/>
      <c r="K13" s="98"/>
    </row>
    <row r="14" spans="1:11" s="61" customFormat="1" x14ac:dyDescent="0.2">
      <c r="A14" s="55"/>
      <c r="B14" s="56"/>
      <c r="C14" s="57"/>
      <c r="D14" s="58"/>
      <c r="E14" s="58"/>
      <c r="F14" s="58"/>
      <c r="G14" s="58"/>
      <c r="H14" s="59"/>
      <c r="I14" s="57"/>
      <c r="J14" s="60"/>
      <c r="K14" s="99"/>
    </row>
    <row r="15" spans="1:11" ht="13.5" thickBot="1" x14ac:dyDescent="0.25">
      <c r="A15" s="88"/>
      <c r="B15" s="72"/>
      <c r="C15" s="72"/>
      <c r="D15" s="72"/>
      <c r="E15" s="72"/>
      <c r="F15" s="72"/>
      <c r="G15" s="72"/>
      <c r="H15" s="72"/>
      <c r="I15" s="72"/>
      <c r="J15" s="86"/>
      <c r="K15" s="98"/>
    </row>
    <row r="16" spans="1:11" ht="13.5" customHeight="1" thickBot="1" x14ac:dyDescent="0.25">
      <c r="A16" s="90"/>
      <c r="B16" s="74" t="s">
        <v>23</v>
      </c>
      <c r="C16" s="75"/>
      <c r="D16" s="582" t="s">
        <v>258</v>
      </c>
      <c r="E16" s="582"/>
      <c r="F16" s="582"/>
      <c r="G16" s="582"/>
      <c r="H16" s="582"/>
      <c r="I16" s="582"/>
      <c r="J16" s="583"/>
      <c r="K16" s="98"/>
    </row>
    <row r="17" spans="1:11" ht="13.5" customHeight="1" x14ac:dyDescent="0.2">
      <c r="A17" s="90"/>
      <c r="B17" s="77"/>
      <c r="C17" s="75"/>
      <c r="D17" s="582"/>
      <c r="E17" s="582"/>
      <c r="F17" s="582"/>
      <c r="G17" s="582"/>
      <c r="H17" s="582"/>
      <c r="I17" s="582"/>
      <c r="J17" s="583"/>
      <c r="K17" s="98"/>
    </row>
    <row r="18" spans="1:11" ht="13.5" customHeight="1" x14ac:dyDescent="0.2">
      <c r="A18" s="90"/>
      <c r="B18" s="77"/>
      <c r="C18" s="75"/>
      <c r="D18" s="582"/>
      <c r="E18" s="582"/>
      <c r="F18" s="582"/>
      <c r="G18" s="582"/>
      <c r="H18" s="582"/>
      <c r="I18" s="582"/>
      <c r="J18" s="583"/>
      <c r="K18" s="98"/>
    </row>
    <row r="19" spans="1:11" ht="13.5" customHeight="1" x14ac:dyDescent="0.2">
      <c r="A19" s="90"/>
      <c r="B19" s="77"/>
      <c r="C19" s="75"/>
      <c r="D19" s="582"/>
      <c r="E19" s="582"/>
      <c r="F19" s="582"/>
      <c r="G19" s="582"/>
      <c r="H19" s="582"/>
      <c r="I19" s="582"/>
      <c r="J19" s="583"/>
      <c r="K19" s="98"/>
    </row>
    <row r="20" spans="1:11" ht="13.5" thickBot="1" x14ac:dyDescent="0.25">
      <c r="A20" s="90"/>
      <c r="B20" s="76"/>
      <c r="C20" s="75"/>
      <c r="D20" s="75"/>
      <c r="E20" s="75"/>
      <c r="F20" s="75"/>
      <c r="G20" s="75"/>
      <c r="H20" s="75"/>
      <c r="I20" s="75"/>
      <c r="J20" s="87"/>
      <c r="K20" s="98"/>
    </row>
    <row r="21" spans="1:11" ht="13.5" customHeight="1" thickBot="1" x14ac:dyDescent="0.25">
      <c r="A21" s="90"/>
      <c r="B21" s="77"/>
      <c r="C21" s="75"/>
      <c r="D21" s="582" t="s">
        <v>211</v>
      </c>
      <c r="E21" s="582"/>
      <c r="F21" s="582"/>
      <c r="G21" s="582"/>
      <c r="H21" s="586"/>
      <c r="I21" s="85">
        <v>41131</v>
      </c>
      <c r="J21" s="91"/>
      <c r="K21" s="98"/>
    </row>
    <row r="22" spans="1:11" ht="12.75" hidden="1" customHeight="1" x14ac:dyDescent="0.2">
      <c r="A22" s="90"/>
      <c r="B22" s="77"/>
      <c r="C22" s="75"/>
      <c r="D22" s="84"/>
      <c r="E22" s="84"/>
      <c r="F22" s="84"/>
      <c r="G22" s="84"/>
      <c r="H22" s="84"/>
      <c r="I22" s="84"/>
      <c r="J22" s="91"/>
      <c r="K22" s="98"/>
    </row>
    <row r="23" spans="1:11" ht="12.75" customHeight="1" thickBot="1" x14ac:dyDescent="0.25">
      <c r="A23" s="90"/>
      <c r="B23" s="77"/>
      <c r="C23" s="75"/>
      <c r="D23" s="84"/>
      <c r="E23" s="84"/>
      <c r="F23" s="84"/>
      <c r="G23" s="84"/>
      <c r="H23" s="84"/>
      <c r="I23" s="84"/>
      <c r="J23" s="91"/>
      <c r="K23" s="98"/>
    </row>
    <row r="24" spans="1:11" ht="12.75" customHeight="1" thickBot="1" x14ac:dyDescent="0.25">
      <c r="A24" s="90"/>
      <c r="B24" s="77"/>
      <c r="C24" s="75"/>
      <c r="D24" s="582" t="s">
        <v>212</v>
      </c>
      <c r="E24" s="582"/>
      <c r="F24" s="582"/>
      <c r="G24" s="582"/>
      <c r="H24" s="586"/>
      <c r="I24" s="85">
        <v>41131</v>
      </c>
      <c r="J24" s="91"/>
      <c r="K24" s="98"/>
    </row>
    <row r="25" spans="1:11" ht="12.75" customHeight="1" x14ac:dyDescent="0.2">
      <c r="A25" s="90"/>
      <c r="B25" s="77"/>
      <c r="C25" s="75"/>
      <c r="D25" s="84"/>
      <c r="E25" s="84"/>
      <c r="F25" s="84"/>
      <c r="G25" s="84"/>
      <c r="H25" s="84"/>
      <c r="I25" s="84"/>
      <c r="J25" s="91"/>
      <c r="K25" s="98"/>
    </row>
    <row r="26" spans="1:11" ht="12.75" customHeight="1" x14ac:dyDescent="0.2">
      <c r="A26" s="90"/>
      <c r="B26" s="591" t="s">
        <v>213</v>
      </c>
      <c r="C26" s="591"/>
      <c r="D26" s="591"/>
      <c r="E26" s="591"/>
      <c r="F26" s="591"/>
      <c r="G26" s="591"/>
      <c r="H26" s="591"/>
      <c r="I26" s="84"/>
      <c r="J26" s="98"/>
      <c r="K26" s="98"/>
    </row>
    <row r="27" spans="1:11" ht="12.75" customHeight="1" thickBot="1" x14ac:dyDescent="0.25">
      <c r="A27" s="90"/>
      <c r="B27" s="76"/>
      <c r="C27" s="75"/>
      <c r="D27" s="75"/>
      <c r="E27" s="75"/>
      <c r="F27" s="75"/>
      <c r="G27" s="75"/>
      <c r="H27" s="75"/>
      <c r="I27" s="75"/>
      <c r="J27" s="87"/>
      <c r="K27" s="98"/>
    </row>
    <row r="28" spans="1:11" ht="12.75" customHeight="1" thickBot="1" x14ac:dyDescent="0.25">
      <c r="A28" s="90"/>
      <c r="B28" s="74" t="s">
        <v>23</v>
      </c>
      <c r="C28" s="75"/>
      <c r="D28" s="582" t="s">
        <v>261</v>
      </c>
      <c r="E28" s="582"/>
      <c r="F28" s="582"/>
      <c r="G28" s="582"/>
      <c r="H28" s="582"/>
      <c r="I28" s="582"/>
      <c r="J28" s="91"/>
      <c r="K28" s="98"/>
    </row>
    <row r="29" spans="1:11" ht="13.5" thickBot="1" x14ac:dyDescent="0.25">
      <c r="A29" s="90"/>
      <c r="B29" s="77"/>
      <c r="C29" s="75"/>
      <c r="D29" s="84"/>
      <c r="E29" s="84"/>
      <c r="F29" s="84"/>
      <c r="G29" s="84"/>
      <c r="H29" s="84"/>
      <c r="I29" s="84"/>
      <c r="J29" s="91"/>
      <c r="K29" s="98"/>
    </row>
    <row r="30" spans="1:11" ht="12.75" customHeight="1" thickBot="1" x14ac:dyDescent="0.25">
      <c r="A30" s="90"/>
      <c r="B30" s="79" t="s">
        <v>23</v>
      </c>
      <c r="C30" s="75"/>
      <c r="D30" s="582" t="s">
        <v>260</v>
      </c>
      <c r="E30" s="582"/>
      <c r="F30" s="582"/>
      <c r="G30" s="582"/>
      <c r="H30" s="582"/>
      <c r="I30" s="78"/>
      <c r="J30" s="92"/>
      <c r="K30" s="98"/>
    </row>
    <row r="31" spans="1:11" ht="13.5" thickBot="1" x14ac:dyDescent="0.25">
      <c r="A31" s="90"/>
      <c r="B31" s="77"/>
      <c r="C31" s="75"/>
      <c r="D31" s="84"/>
      <c r="E31" s="84"/>
      <c r="F31" s="84"/>
      <c r="G31" s="84"/>
      <c r="H31" s="84"/>
      <c r="I31" s="84"/>
      <c r="J31" s="91"/>
      <c r="K31" s="98"/>
    </row>
    <row r="32" spans="1:11" ht="12.75" customHeight="1" thickBot="1" x14ac:dyDescent="0.25">
      <c r="A32" s="90"/>
      <c r="B32" s="79" t="s">
        <v>23</v>
      </c>
      <c r="C32" s="75"/>
      <c r="D32" s="587" t="s">
        <v>214</v>
      </c>
      <c r="E32" s="587"/>
      <c r="F32" s="587"/>
      <c r="G32" s="587"/>
      <c r="H32" s="587"/>
      <c r="I32" s="78"/>
      <c r="J32" s="92"/>
      <c r="K32" s="98"/>
    </row>
    <row r="33" spans="1:11" ht="13.5" thickBot="1" x14ac:dyDescent="0.25">
      <c r="A33" s="90"/>
      <c r="B33" s="77"/>
      <c r="C33" s="75"/>
      <c r="D33" s="765" t="s">
        <v>628</v>
      </c>
      <c r="E33" s="766"/>
      <c r="F33" s="766"/>
      <c r="G33" s="766"/>
      <c r="H33" s="766"/>
      <c r="I33" s="767"/>
      <c r="J33" s="91"/>
      <c r="K33" s="98"/>
    </row>
    <row r="34" spans="1:11" ht="13.5" thickBot="1" x14ac:dyDescent="0.25">
      <c r="A34" s="90"/>
      <c r="B34" s="77"/>
      <c r="C34" s="75"/>
      <c r="D34" s="84"/>
      <c r="E34" s="84"/>
      <c r="F34" s="84"/>
      <c r="G34" s="84"/>
      <c r="H34" s="84"/>
      <c r="I34" s="84"/>
      <c r="J34" s="91"/>
      <c r="K34" s="98"/>
    </row>
    <row r="35" spans="1:11" ht="12.75" customHeight="1" thickBot="1" x14ac:dyDescent="0.25">
      <c r="A35" s="90"/>
      <c r="B35" s="79"/>
      <c r="C35" s="75"/>
      <c r="D35" s="582" t="s">
        <v>262</v>
      </c>
      <c r="E35" s="582"/>
      <c r="F35" s="582"/>
      <c r="G35" s="582"/>
      <c r="H35" s="582"/>
      <c r="I35" s="582"/>
      <c r="J35" s="91"/>
      <c r="K35" s="98"/>
    </row>
    <row r="36" spans="1:11" ht="13.5" thickBot="1" x14ac:dyDescent="0.25">
      <c r="A36" s="90"/>
      <c r="B36" s="76"/>
      <c r="C36" s="75"/>
      <c r="D36" s="80"/>
      <c r="E36" s="75"/>
      <c r="F36" s="75"/>
      <c r="G36" s="75"/>
      <c r="H36" s="75"/>
      <c r="I36" s="75"/>
      <c r="J36" s="87"/>
      <c r="K36" s="98"/>
    </row>
    <row r="37" spans="1:11" ht="12.75" customHeight="1" thickBot="1" x14ac:dyDescent="0.25">
      <c r="A37" s="90"/>
      <c r="B37" s="74"/>
      <c r="C37" s="75"/>
      <c r="D37" s="582" t="s">
        <v>263</v>
      </c>
      <c r="E37" s="582"/>
      <c r="F37" s="582"/>
      <c r="G37" s="582"/>
      <c r="H37" s="582"/>
      <c r="I37" s="84"/>
      <c r="J37" s="91"/>
      <c r="K37" s="98"/>
    </row>
    <row r="38" spans="1:11" ht="13.5" thickBot="1" x14ac:dyDescent="0.25">
      <c r="A38" s="90"/>
      <c r="B38" s="77"/>
      <c r="C38" s="75"/>
      <c r="D38" s="84"/>
      <c r="E38" s="84"/>
      <c r="F38" s="84"/>
      <c r="G38" s="84"/>
      <c r="H38" s="84"/>
      <c r="I38" s="84"/>
      <c r="J38" s="91"/>
      <c r="K38" s="98"/>
    </row>
    <row r="39" spans="1:11" ht="12.75" customHeight="1" thickBot="1" x14ac:dyDescent="0.25">
      <c r="A39" s="90"/>
      <c r="B39" s="79"/>
      <c r="C39" s="75"/>
      <c r="D39" s="587" t="s">
        <v>264</v>
      </c>
      <c r="E39" s="587"/>
      <c r="F39" s="587"/>
      <c r="G39" s="587"/>
      <c r="H39" s="587"/>
      <c r="I39" s="78"/>
      <c r="J39" s="92"/>
      <c r="K39" s="98"/>
    </row>
    <row r="40" spans="1:11" ht="13.5" thickBot="1" x14ac:dyDescent="0.25">
      <c r="A40" s="90"/>
      <c r="B40" s="77"/>
      <c r="C40" s="75"/>
      <c r="D40" s="84"/>
      <c r="E40" s="84"/>
      <c r="F40" s="84"/>
      <c r="G40" s="84"/>
      <c r="H40" s="84"/>
      <c r="I40" s="84"/>
      <c r="J40" s="91"/>
      <c r="K40" s="98"/>
    </row>
    <row r="41" spans="1:11" ht="12.75" customHeight="1" thickBot="1" x14ac:dyDescent="0.25">
      <c r="A41" s="90"/>
      <c r="B41" s="79"/>
      <c r="C41" s="75"/>
      <c r="D41" s="582" t="s">
        <v>222</v>
      </c>
      <c r="E41" s="582"/>
      <c r="F41" s="582"/>
      <c r="G41" s="582"/>
      <c r="H41" s="582"/>
      <c r="I41" s="582"/>
      <c r="J41" s="91"/>
      <c r="K41" s="98"/>
    </row>
    <row r="42" spans="1:11" ht="12.75" customHeight="1" thickBot="1" x14ac:dyDescent="0.25">
      <c r="A42" s="90"/>
      <c r="B42" s="77"/>
      <c r="C42" s="75"/>
      <c r="D42" s="765"/>
      <c r="E42" s="766"/>
      <c r="F42" s="766"/>
      <c r="G42" s="766"/>
      <c r="H42" s="766"/>
      <c r="I42" s="767"/>
      <c r="J42" s="91"/>
      <c r="K42" s="98"/>
    </row>
    <row r="43" spans="1:11" s="102" customFormat="1" ht="13.5" thickBot="1" x14ac:dyDescent="0.25">
      <c r="A43" s="106"/>
      <c r="B43" s="103"/>
      <c r="C43" s="104"/>
      <c r="D43" s="105"/>
      <c r="E43" s="105"/>
      <c r="F43" s="105"/>
      <c r="G43" s="105"/>
      <c r="H43" s="105"/>
      <c r="I43" s="105"/>
      <c r="J43" s="95"/>
    </row>
    <row r="44" spans="1:11" ht="14.25" thickTop="1" thickBot="1" x14ac:dyDescent="0.25">
      <c r="A44" s="90"/>
      <c r="B44" s="76"/>
      <c r="C44" s="75"/>
      <c r="D44" s="80"/>
      <c r="E44" s="75"/>
      <c r="F44" s="75"/>
      <c r="G44" s="75"/>
      <c r="H44" s="75"/>
      <c r="I44" s="75"/>
      <c r="J44" s="87"/>
      <c r="K44" s="98"/>
    </row>
    <row r="45" spans="1:11" ht="13.5" customHeight="1" thickBot="1" x14ac:dyDescent="0.25">
      <c r="A45" s="90"/>
      <c r="B45" s="74" t="s">
        <v>23</v>
      </c>
      <c r="C45" s="75"/>
      <c r="D45" s="582" t="s">
        <v>259</v>
      </c>
      <c r="E45" s="582"/>
      <c r="F45" s="582"/>
      <c r="G45" s="582"/>
      <c r="H45" s="582"/>
      <c r="I45" s="582"/>
      <c r="J45" s="583"/>
      <c r="K45" s="98"/>
    </row>
    <row r="46" spans="1:11" x14ac:dyDescent="0.2">
      <c r="A46" s="90"/>
      <c r="B46" s="76"/>
      <c r="C46" s="75"/>
      <c r="D46" s="80"/>
      <c r="E46" s="75"/>
      <c r="F46" s="75"/>
      <c r="G46" s="75"/>
      <c r="H46" s="75"/>
      <c r="I46" s="75"/>
      <c r="J46" s="87"/>
      <c r="K46" s="98"/>
    </row>
    <row r="47" spans="1:11" ht="12.75" customHeight="1" x14ac:dyDescent="0.2">
      <c r="A47" s="90"/>
      <c r="B47" s="76"/>
      <c r="C47" s="75">
        <v>1</v>
      </c>
      <c r="D47" s="768" t="s">
        <v>265</v>
      </c>
      <c r="E47" s="768"/>
      <c r="F47" s="768"/>
      <c r="G47" s="768"/>
      <c r="H47" s="768"/>
      <c r="I47" s="768"/>
      <c r="J47" s="101"/>
      <c r="K47" s="101"/>
    </row>
    <row r="48" spans="1:11" x14ac:dyDescent="0.2">
      <c r="A48" s="90"/>
      <c r="B48" s="76"/>
      <c r="C48" s="75"/>
      <c r="D48" s="96"/>
      <c r="E48" s="96"/>
      <c r="F48" s="96"/>
      <c r="G48" s="96"/>
      <c r="H48" s="96"/>
      <c r="I48" s="96"/>
      <c r="J48" s="100"/>
      <c r="K48" s="100"/>
    </row>
    <row r="49" spans="1:11" ht="12.75" customHeight="1" x14ac:dyDescent="0.2">
      <c r="A49" s="90"/>
      <c r="B49" s="76"/>
      <c r="C49" s="75">
        <v>2</v>
      </c>
      <c r="D49" s="769" t="s">
        <v>266</v>
      </c>
      <c r="E49" s="769"/>
      <c r="F49" s="769"/>
      <c r="G49" s="769"/>
      <c r="H49" s="769"/>
      <c r="I49" s="769"/>
      <c r="J49" s="101"/>
      <c r="K49" s="101"/>
    </row>
    <row r="50" spans="1:11" x14ac:dyDescent="0.2">
      <c r="A50" s="90"/>
      <c r="B50" s="76"/>
      <c r="C50" s="75"/>
      <c r="D50" s="769"/>
      <c r="E50" s="769"/>
      <c r="F50" s="769"/>
      <c r="G50" s="769"/>
      <c r="H50" s="769"/>
      <c r="I50" s="769"/>
      <c r="J50" s="101"/>
      <c r="K50" s="101"/>
    </row>
    <row r="51" spans="1:11" x14ac:dyDescent="0.2">
      <c r="A51" s="90"/>
      <c r="B51" s="76"/>
      <c r="C51" s="75"/>
      <c r="D51" s="769"/>
      <c r="E51" s="769"/>
      <c r="F51" s="769"/>
      <c r="G51" s="769"/>
      <c r="H51" s="769"/>
      <c r="I51" s="769"/>
      <c r="J51" s="101"/>
      <c r="K51" s="101"/>
    </row>
    <row r="52" spans="1:11" x14ac:dyDescent="0.2">
      <c r="A52" s="90"/>
      <c r="B52" s="76"/>
      <c r="C52" s="75"/>
      <c r="D52" s="769"/>
      <c r="E52" s="769"/>
      <c r="F52" s="769"/>
      <c r="G52" s="769"/>
      <c r="H52" s="769"/>
      <c r="I52" s="769"/>
      <c r="J52" s="101"/>
      <c r="K52" s="101"/>
    </row>
    <row r="53" spans="1:11" x14ac:dyDescent="0.2">
      <c r="A53" s="90"/>
      <c r="B53" s="76"/>
      <c r="C53" s="75"/>
      <c r="D53" s="96"/>
      <c r="E53" s="96"/>
      <c r="F53" s="96"/>
      <c r="G53" s="96"/>
      <c r="H53" s="96"/>
      <c r="I53" s="96"/>
      <c r="J53" s="100"/>
      <c r="K53" s="100"/>
    </row>
    <row r="54" spans="1:11" ht="12.75" customHeight="1" x14ac:dyDescent="0.2">
      <c r="A54" s="90"/>
      <c r="B54" s="76"/>
      <c r="C54" s="75">
        <v>3</v>
      </c>
      <c r="D54" s="768" t="s">
        <v>267</v>
      </c>
      <c r="E54" s="768"/>
      <c r="F54" s="768"/>
      <c r="G54" s="768"/>
      <c r="H54" s="768"/>
      <c r="I54" s="768"/>
      <c r="J54" s="101"/>
      <c r="K54" s="101"/>
    </row>
    <row r="55" spans="1:11" x14ac:dyDescent="0.2">
      <c r="A55" s="90"/>
      <c r="B55" s="76"/>
      <c r="C55" s="75"/>
      <c r="D55" s="768"/>
      <c r="E55" s="768"/>
      <c r="F55" s="768"/>
      <c r="G55" s="768"/>
      <c r="H55" s="768"/>
      <c r="I55" s="768"/>
      <c r="J55" s="101"/>
      <c r="K55" s="101"/>
    </row>
    <row r="56" spans="1:11" x14ac:dyDescent="0.2">
      <c r="A56" s="90"/>
      <c r="B56" s="76"/>
      <c r="C56" s="75"/>
      <c r="D56" s="768"/>
      <c r="E56" s="768"/>
      <c r="F56" s="768"/>
      <c r="G56" s="768"/>
      <c r="H56" s="768"/>
      <c r="I56" s="768"/>
      <c r="J56" s="101"/>
      <c r="K56" s="101"/>
    </row>
    <row r="57" spans="1:11" x14ac:dyDescent="0.2">
      <c r="A57" s="90"/>
      <c r="B57" s="76"/>
      <c r="C57" s="75"/>
      <c r="D57" s="768"/>
      <c r="E57" s="768"/>
      <c r="F57" s="768"/>
      <c r="G57" s="768"/>
      <c r="H57" s="768"/>
      <c r="I57" s="768"/>
      <c r="J57" s="101"/>
      <c r="K57" s="101"/>
    </row>
    <row r="58" spans="1:11" x14ac:dyDescent="0.2">
      <c r="A58" s="90"/>
      <c r="B58" s="76"/>
      <c r="C58" s="75"/>
      <c r="D58" s="96"/>
      <c r="E58" s="96"/>
      <c r="F58" s="96"/>
      <c r="G58" s="96"/>
      <c r="H58" s="96"/>
      <c r="I58" s="96"/>
      <c r="J58" s="100"/>
      <c r="K58" s="100"/>
    </row>
    <row r="59" spans="1:11" ht="12.75" customHeight="1" x14ac:dyDescent="0.2">
      <c r="A59" s="90"/>
      <c r="B59" s="76"/>
      <c r="C59" s="75">
        <v>4</v>
      </c>
      <c r="D59" s="768" t="s">
        <v>268</v>
      </c>
      <c r="E59" s="768"/>
      <c r="F59" s="768"/>
      <c r="G59" s="768"/>
      <c r="H59" s="768"/>
      <c r="I59" s="768"/>
      <c r="J59" s="101"/>
      <c r="K59" s="101"/>
    </row>
    <row r="60" spans="1:11" x14ac:dyDescent="0.2">
      <c r="A60" s="90"/>
      <c r="B60" s="76"/>
      <c r="C60" s="75"/>
      <c r="D60" s="768"/>
      <c r="E60" s="768"/>
      <c r="F60" s="768"/>
      <c r="G60" s="768"/>
      <c r="H60" s="768"/>
      <c r="I60" s="768"/>
      <c r="J60" s="101"/>
      <c r="K60" s="101"/>
    </row>
    <row r="61" spans="1:11" x14ac:dyDescent="0.2">
      <c r="A61" s="90"/>
      <c r="B61" s="76"/>
      <c r="C61" s="75"/>
      <c r="D61" s="96"/>
      <c r="E61" s="96"/>
      <c r="F61" s="96"/>
      <c r="G61" s="96"/>
      <c r="H61" s="96"/>
      <c r="I61" s="96"/>
      <c r="J61" s="100"/>
      <c r="K61" s="100"/>
    </row>
    <row r="62" spans="1:11" ht="12.75" customHeight="1" x14ac:dyDescent="0.2">
      <c r="A62" s="90"/>
      <c r="B62" s="76"/>
      <c r="C62" s="75">
        <v>5</v>
      </c>
      <c r="D62" s="768" t="s">
        <v>269</v>
      </c>
      <c r="E62" s="768"/>
      <c r="F62" s="768"/>
      <c r="G62" s="768"/>
      <c r="H62" s="768"/>
      <c r="I62" s="768"/>
      <c r="J62" s="101"/>
      <c r="K62" s="101"/>
    </row>
    <row r="63" spans="1:11" x14ac:dyDescent="0.2">
      <c r="A63" s="90"/>
      <c r="B63" s="76"/>
      <c r="C63" s="75"/>
      <c r="D63" s="768"/>
      <c r="E63" s="768"/>
      <c r="F63" s="768"/>
      <c r="G63" s="768"/>
      <c r="H63" s="768"/>
      <c r="I63" s="768"/>
      <c r="J63" s="101"/>
      <c r="K63" s="101"/>
    </row>
    <row r="64" spans="1:11" x14ac:dyDescent="0.2">
      <c r="A64" s="90"/>
      <c r="B64" s="76"/>
      <c r="C64" s="75"/>
      <c r="D64" s="96"/>
      <c r="E64" s="96"/>
      <c r="F64" s="96"/>
      <c r="G64" s="96"/>
      <c r="H64" s="96"/>
      <c r="I64" s="96"/>
      <c r="J64" s="100"/>
      <c r="K64" s="100"/>
    </row>
    <row r="65" spans="1:11" ht="12.75" customHeight="1" x14ac:dyDescent="0.2">
      <c r="A65" s="90"/>
      <c r="B65" s="76"/>
      <c r="C65" s="75">
        <v>6</v>
      </c>
      <c r="D65" s="768" t="s">
        <v>270</v>
      </c>
      <c r="E65" s="768"/>
      <c r="F65" s="768"/>
      <c r="G65" s="768"/>
      <c r="H65" s="768"/>
      <c r="I65" s="768"/>
      <c r="J65" s="101"/>
      <c r="K65" s="101"/>
    </row>
    <row r="66" spans="1:11" ht="12.75" customHeight="1" x14ac:dyDescent="0.2">
      <c r="A66" s="90"/>
      <c r="B66" s="76"/>
      <c r="C66" s="75"/>
      <c r="D66" s="768"/>
      <c r="E66" s="768"/>
      <c r="F66" s="768"/>
      <c r="G66" s="768"/>
      <c r="H66" s="768"/>
      <c r="I66" s="768"/>
      <c r="J66" s="101"/>
      <c r="K66" s="101"/>
    </row>
    <row r="67" spans="1:11" x14ac:dyDescent="0.2">
      <c r="A67" s="90"/>
      <c r="B67" s="76"/>
      <c r="C67" s="75"/>
      <c r="D67" s="768"/>
      <c r="E67" s="768"/>
      <c r="F67" s="768"/>
      <c r="G67" s="768"/>
      <c r="H67" s="768"/>
      <c r="I67" s="768"/>
      <c r="J67" s="101"/>
      <c r="K67" s="101"/>
    </row>
    <row r="68" spans="1:11" x14ac:dyDescent="0.2">
      <c r="A68" s="90"/>
      <c r="B68" s="76"/>
      <c r="C68" s="75"/>
      <c r="D68" s="96"/>
      <c r="E68" s="96"/>
      <c r="F68" s="96"/>
      <c r="G68" s="96"/>
      <c r="H68" s="96"/>
      <c r="I68" s="96"/>
      <c r="J68" s="100"/>
      <c r="K68" s="100"/>
    </row>
    <row r="69" spans="1:11" ht="12.75" customHeight="1" x14ac:dyDescent="0.2">
      <c r="A69" s="90"/>
      <c r="B69" s="76"/>
      <c r="C69" s="75">
        <v>7</v>
      </c>
      <c r="D69" s="768" t="s">
        <v>271</v>
      </c>
      <c r="E69" s="768"/>
      <c r="F69" s="768"/>
      <c r="G69" s="768"/>
      <c r="H69" s="768"/>
      <c r="I69" s="768"/>
      <c r="J69" s="101"/>
      <c r="K69" s="101"/>
    </row>
    <row r="70" spans="1:11" x14ac:dyDescent="0.2">
      <c r="A70" s="90"/>
      <c r="B70" s="76"/>
      <c r="C70" s="75"/>
      <c r="D70" s="768"/>
      <c r="E70" s="768"/>
      <c r="F70" s="768"/>
      <c r="G70" s="768"/>
      <c r="H70" s="768"/>
      <c r="I70" s="768"/>
      <c r="J70" s="101"/>
      <c r="K70" s="101"/>
    </row>
    <row r="71" spans="1:11" x14ac:dyDescent="0.2">
      <c r="A71" s="90"/>
      <c r="B71" s="76"/>
      <c r="C71" s="75"/>
      <c r="D71" s="96"/>
      <c r="E71" s="96"/>
      <c r="F71" s="96"/>
      <c r="G71" s="96"/>
      <c r="H71" s="96"/>
      <c r="I71" s="96"/>
      <c r="J71" s="100"/>
      <c r="K71" s="100"/>
    </row>
    <row r="72" spans="1:11" ht="12.75" customHeight="1" x14ac:dyDescent="0.2">
      <c r="A72" s="90"/>
      <c r="B72" s="76"/>
      <c r="C72" s="75">
        <v>8</v>
      </c>
      <c r="D72" s="768" t="s">
        <v>272</v>
      </c>
      <c r="E72" s="768"/>
      <c r="F72" s="768"/>
      <c r="G72" s="768"/>
      <c r="H72" s="768"/>
      <c r="I72" s="768"/>
      <c r="J72" s="101"/>
      <c r="K72" s="101"/>
    </row>
    <row r="73" spans="1:11" x14ac:dyDescent="0.2">
      <c r="A73" s="90"/>
      <c r="B73" s="76"/>
      <c r="C73" s="75"/>
      <c r="D73" s="768"/>
      <c r="E73" s="768"/>
      <c r="F73" s="768"/>
      <c r="G73" s="768"/>
      <c r="H73" s="768"/>
      <c r="I73" s="768"/>
      <c r="J73" s="101"/>
      <c r="K73" s="101"/>
    </row>
    <row r="74" spans="1:11" x14ac:dyDescent="0.2">
      <c r="A74" s="90"/>
      <c r="B74" s="76"/>
      <c r="C74" s="75"/>
      <c r="D74" s="768"/>
      <c r="E74" s="768"/>
      <c r="F74" s="768"/>
      <c r="G74" s="768"/>
      <c r="H74" s="768"/>
      <c r="I74" s="768"/>
      <c r="J74" s="101"/>
      <c r="K74" s="101"/>
    </row>
    <row r="75" spans="1:11" x14ac:dyDescent="0.2">
      <c r="A75" s="90"/>
      <c r="B75" s="76"/>
      <c r="C75" s="75"/>
      <c r="D75" s="768"/>
      <c r="E75" s="768"/>
      <c r="F75" s="768"/>
      <c r="G75" s="768"/>
      <c r="H75" s="768"/>
      <c r="I75" s="768"/>
      <c r="J75" s="101"/>
      <c r="K75" s="101"/>
    </row>
    <row r="76" spans="1:11" x14ac:dyDescent="0.2">
      <c r="A76" s="90"/>
      <c r="B76" s="76"/>
      <c r="C76" s="75"/>
      <c r="D76" s="768"/>
      <c r="E76" s="768"/>
      <c r="F76" s="768"/>
      <c r="G76" s="768"/>
      <c r="H76" s="768"/>
      <c r="I76" s="768"/>
      <c r="J76" s="101"/>
      <c r="K76" s="101"/>
    </row>
    <row r="77" spans="1:11" x14ac:dyDescent="0.2">
      <c r="A77" s="90"/>
      <c r="B77" s="76"/>
      <c r="C77" s="75"/>
      <c r="D77" s="96"/>
      <c r="E77" s="96"/>
      <c r="F77" s="96"/>
      <c r="G77" s="96"/>
      <c r="H77" s="96"/>
      <c r="I77" s="96"/>
      <c r="J77" s="100"/>
      <c r="K77" s="100"/>
    </row>
    <row r="78" spans="1:11" ht="12.75" customHeight="1" x14ac:dyDescent="0.2">
      <c r="A78" s="90"/>
      <c r="B78" s="76"/>
      <c r="C78" s="75">
        <v>9</v>
      </c>
      <c r="D78" s="768" t="s">
        <v>273</v>
      </c>
      <c r="E78" s="768"/>
      <c r="F78" s="768"/>
      <c r="G78" s="768"/>
      <c r="H78" s="768"/>
      <c r="I78" s="768"/>
      <c r="J78" s="101"/>
      <c r="K78" s="101"/>
    </row>
    <row r="79" spans="1:11" x14ac:dyDescent="0.2">
      <c r="A79" s="90"/>
      <c r="B79" s="76"/>
      <c r="C79" s="75"/>
      <c r="D79" s="768"/>
      <c r="E79" s="768"/>
      <c r="F79" s="768"/>
      <c r="G79" s="768"/>
      <c r="H79" s="768"/>
      <c r="I79" s="768"/>
      <c r="J79" s="101"/>
      <c r="K79" s="101"/>
    </row>
    <row r="80" spans="1:11" x14ac:dyDescent="0.2">
      <c r="A80" s="90"/>
      <c r="B80" s="76"/>
      <c r="C80" s="75"/>
      <c r="D80" s="768"/>
      <c r="E80" s="768"/>
      <c r="F80" s="768"/>
      <c r="G80" s="768"/>
      <c r="H80" s="768"/>
      <c r="I80" s="768"/>
      <c r="J80" s="101"/>
      <c r="K80" s="101"/>
    </row>
    <row r="81" spans="1:11" x14ac:dyDescent="0.2">
      <c r="A81" s="90"/>
      <c r="B81" s="76"/>
      <c r="C81" s="75"/>
      <c r="D81" s="768"/>
      <c r="E81" s="768"/>
      <c r="F81" s="768"/>
      <c r="G81" s="768"/>
      <c r="H81" s="768"/>
      <c r="I81" s="768"/>
      <c r="J81" s="101"/>
      <c r="K81" s="101"/>
    </row>
    <row r="82" spans="1:11" x14ac:dyDescent="0.2">
      <c r="A82" s="90"/>
      <c r="B82" s="76"/>
      <c r="C82" s="75"/>
      <c r="D82" s="768"/>
      <c r="E82" s="768"/>
      <c r="F82" s="768"/>
      <c r="G82" s="768"/>
      <c r="H82" s="768"/>
      <c r="I82" s="768"/>
      <c r="J82" s="101"/>
      <c r="K82" s="101"/>
    </row>
    <row r="83" spans="1:11" x14ac:dyDescent="0.2">
      <c r="A83" s="90"/>
      <c r="B83" s="76"/>
      <c r="C83" s="75"/>
      <c r="D83" s="96"/>
      <c r="E83" s="96"/>
      <c r="F83" s="96"/>
      <c r="G83" s="96"/>
      <c r="H83" s="96"/>
      <c r="I83" s="96"/>
      <c r="J83" s="100"/>
      <c r="K83" s="100"/>
    </row>
    <row r="84" spans="1:11" ht="12.75" customHeight="1" x14ac:dyDescent="0.2">
      <c r="A84" s="90"/>
      <c r="B84" s="76"/>
      <c r="C84" s="75">
        <v>10</v>
      </c>
      <c r="D84" s="770" t="s">
        <v>274</v>
      </c>
      <c r="E84" s="770"/>
      <c r="F84" s="770"/>
      <c r="G84" s="770"/>
      <c r="H84" s="770"/>
      <c r="I84" s="770"/>
      <c r="J84" s="100"/>
      <c r="K84" s="100"/>
    </row>
    <row r="85" spans="1:11" x14ac:dyDescent="0.2">
      <c r="A85" s="90"/>
      <c r="B85" s="76"/>
      <c r="C85" s="75"/>
      <c r="D85" s="770"/>
      <c r="E85" s="770"/>
      <c r="F85" s="770"/>
      <c r="G85" s="770"/>
      <c r="H85" s="770"/>
      <c r="I85" s="770"/>
      <c r="J85" s="100"/>
      <c r="K85" s="100"/>
    </row>
    <row r="86" spans="1:11" ht="13.5" thickBot="1" x14ac:dyDescent="0.25">
      <c r="A86" s="184"/>
      <c r="B86" s="185"/>
      <c r="C86" s="186"/>
      <c r="D86" s="771"/>
      <c r="E86" s="771"/>
      <c r="F86" s="771"/>
      <c r="G86" s="771"/>
      <c r="H86" s="771"/>
      <c r="I86" s="771"/>
      <c r="J86" s="187"/>
      <c r="K86" s="98"/>
    </row>
    <row r="87" spans="1:11" ht="12.75" customHeight="1" thickTop="1" x14ac:dyDescent="0.2"/>
  </sheetData>
  <sheetProtection password="E686" sheet="1" objects="1" scenarios="1" formatRows="0"/>
  <mergeCells count="27">
    <mergeCell ref="D65:I67"/>
    <mergeCell ref="D24:H24"/>
    <mergeCell ref="D28:I28"/>
    <mergeCell ref="D84:I86"/>
    <mergeCell ref="D39:H39"/>
    <mergeCell ref="D41:I41"/>
    <mergeCell ref="D69:I70"/>
    <mergeCell ref="D72:I76"/>
    <mergeCell ref="D78:I82"/>
    <mergeCell ref="D47:I47"/>
    <mergeCell ref="D42:I42"/>
    <mergeCell ref="B26:H26"/>
    <mergeCell ref="D30:H30"/>
    <mergeCell ref="D37:H37"/>
    <mergeCell ref="D62:I63"/>
    <mergeCell ref="D59:I60"/>
    <mergeCell ref="D32:H32"/>
    <mergeCell ref="D33:I33"/>
    <mergeCell ref="D35:I35"/>
    <mergeCell ref="D45:J45"/>
    <mergeCell ref="D54:I57"/>
    <mergeCell ref="D49:I52"/>
    <mergeCell ref="A1:J2"/>
    <mergeCell ref="A3:J6"/>
    <mergeCell ref="A7:J13"/>
    <mergeCell ref="D16:J19"/>
    <mergeCell ref="D21:H21"/>
  </mergeCells>
  <dataValidations count="1">
    <dataValidation type="list" allowBlank="1" showInputMessage="1" showErrorMessage="1" sqref="B45 B41 B32 B30 B28 B16 B39 B37 B35">
      <formula1>check</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20"/>
  <sheetViews>
    <sheetView zoomScaleNormal="100" workbookViewId="0">
      <selection activeCell="F13" sqref="F13:J13"/>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443" t="s">
        <v>189</v>
      </c>
      <c r="B1" s="444"/>
      <c r="C1" s="444"/>
      <c r="D1" s="444"/>
      <c r="E1" s="444"/>
      <c r="F1" s="444"/>
      <c r="G1" s="444"/>
      <c r="H1" s="444"/>
      <c r="I1" s="444"/>
      <c r="J1" s="445"/>
    </row>
    <row r="2" spans="1:10" ht="12.75" customHeight="1" x14ac:dyDescent="0.2">
      <c r="A2" s="446"/>
      <c r="B2" s="447"/>
      <c r="C2" s="447"/>
      <c r="D2" s="447"/>
      <c r="E2" s="447"/>
      <c r="F2" s="447"/>
      <c r="G2" s="447"/>
      <c r="H2" s="447"/>
      <c r="I2" s="447"/>
      <c r="J2" s="448"/>
    </row>
    <row r="3" spans="1:10" ht="12.75" customHeight="1" x14ac:dyDescent="0.2">
      <c r="A3" s="543" t="s">
        <v>171</v>
      </c>
      <c r="B3" s="544"/>
      <c r="C3" s="544"/>
      <c r="D3" s="544"/>
      <c r="E3" s="544"/>
      <c r="F3" s="544"/>
      <c r="G3" s="544"/>
      <c r="H3" s="544"/>
      <c r="I3" s="544"/>
      <c r="J3" s="545"/>
    </row>
    <row r="4" spans="1:10" ht="12.75" customHeight="1" x14ac:dyDescent="0.2">
      <c r="A4" s="573"/>
      <c r="B4" s="574"/>
      <c r="C4" s="574"/>
      <c r="D4" s="574"/>
      <c r="E4" s="574"/>
      <c r="F4" s="574"/>
      <c r="G4" s="574"/>
      <c r="H4" s="574"/>
      <c r="I4" s="574"/>
      <c r="J4" s="575"/>
    </row>
    <row r="5" spans="1:10" ht="12.75" customHeight="1" x14ac:dyDescent="0.2">
      <c r="A5" s="546"/>
      <c r="B5" s="547"/>
      <c r="C5" s="547"/>
      <c r="D5" s="547"/>
      <c r="E5" s="547"/>
      <c r="F5" s="547"/>
      <c r="G5" s="547"/>
      <c r="H5" s="547"/>
      <c r="I5" s="547"/>
      <c r="J5" s="548"/>
    </row>
    <row r="6" spans="1:10" ht="12.75" customHeight="1" x14ac:dyDescent="0.2">
      <c r="A6" s="576" t="s">
        <v>371</v>
      </c>
      <c r="B6" s="577"/>
      <c r="C6" s="577"/>
      <c r="D6" s="577"/>
      <c r="E6" s="577"/>
      <c r="F6" s="577"/>
      <c r="G6" s="577"/>
      <c r="H6" s="577"/>
      <c r="I6" s="577"/>
      <c r="J6" s="578"/>
    </row>
    <row r="7" spans="1:10" ht="12.75" customHeight="1" x14ac:dyDescent="0.2">
      <c r="A7" s="579"/>
      <c r="B7" s="580"/>
      <c r="C7" s="580"/>
      <c r="D7" s="580"/>
      <c r="E7" s="580"/>
      <c r="F7" s="580"/>
      <c r="G7" s="580"/>
      <c r="H7" s="580"/>
      <c r="I7" s="580"/>
      <c r="J7" s="581"/>
    </row>
    <row r="8" spans="1:10" ht="12.75" customHeight="1" x14ac:dyDescent="0.2">
      <c r="A8" s="579"/>
      <c r="B8" s="580"/>
      <c r="C8" s="580"/>
      <c r="D8" s="580"/>
      <c r="E8" s="580"/>
      <c r="F8" s="580"/>
      <c r="G8" s="580"/>
      <c r="H8" s="580"/>
      <c r="I8" s="580"/>
      <c r="J8" s="581"/>
    </row>
    <row r="9" spans="1:10" ht="12.75" customHeight="1" x14ac:dyDescent="0.2">
      <c r="A9" s="579"/>
      <c r="B9" s="580"/>
      <c r="C9" s="580"/>
      <c r="D9" s="580"/>
      <c r="E9" s="580"/>
      <c r="F9" s="580"/>
      <c r="G9" s="580"/>
      <c r="H9" s="580"/>
      <c r="I9" s="580"/>
      <c r="J9" s="581"/>
    </row>
    <row r="10" spans="1:10" ht="12.75" customHeight="1" x14ac:dyDescent="0.2">
      <c r="A10" s="772"/>
      <c r="B10" s="773"/>
      <c r="C10" s="773"/>
      <c r="D10" s="773"/>
      <c r="E10" s="773"/>
      <c r="F10" s="773"/>
      <c r="G10" s="773"/>
      <c r="H10" s="773"/>
      <c r="I10" s="773"/>
      <c r="J10" s="774"/>
    </row>
    <row r="11" spans="1:10" s="61" customFormat="1" x14ac:dyDescent="0.2">
      <c r="A11" s="55"/>
      <c r="B11" s="56"/>
      <c r="C11" s="57"/>
      <c r="D11" s="58"/>
      <c r="E11" s="58"/>
      <c r="F11" s="58"/>
      <c r="G11" s="58"/>
      <c r="H11" s="59"/>
      <c r="I11" s="57"/>
      <c r="J11" s="60"/>
    </row>
    <row r="12" spans="1:10" s="61" customFormat="1" ht="25.5" customHeight="1" x14ac:dyDescent="0.2">
      <c r="A12" s="602" t="s">
        <v>170</v>
      </c>
      <c r="B12" s="603"/>
      <c r="C12" s="603"/>
      <c r="D12" s="603"/>
      <c r="E12" s="603"/>
      <c r="F12" s="603"/>
      <c r="G12" s="603"/>
      <c r="H12" s="603"/>
      <c r="I12" s="603"/>
      <c r="J12" s="604"/>
    </row>
    <row r="13" spans="1:10" s="61" customFormat="1" ht="12.75" customHeight="1" x14ac:dyDescent="0.2">
      <c r="A13" s="348" t="s">
        <v>169</v>
      </c>
      <c r="B13" s="349"/>
      <c r="C13" s="349"/>
      <c r="D13" s="349"/>
      <c r="E13" s="349"/>
      <c r="F13" s="614"/>
      <c r="G13" s="614"/>
      <c r="H13" s="614"/>
      <c r="I13" s="614"/>
      <c r="J13" s="615"/>
    </row>
    <row r="14" spans="1:10" ht="12.75" customHeight="1" x14ac:dyDescent="0.2">
      <c r="A14" s="593" t="s">
        <v>369</v>
      </c>
      <c r="B14" s="594"/>
      <c r="C14" s="594"/>
      <c r="D14" s="594"/>
      <c r="E14" s="594"/>
      <c r="F14" s="594"/>
      <c r="G14" s="594"/>
      <c r="H14" s="594"/>
      <c r="I14" s="594"/>
      <c r="J14" s="595"/>
    </row>
    <row r="15" spans="1:10" ht="12.75" customHeight="1" x14ac:dyDescent="0.2">
      <c r="A15" s="596"/>
      <c r="B15" s="597"/>
      <c r="C15" s="597"/>
      <c r="D15" s="597"/>
      <c r="E15" s="597"/>
      <c r="F15" s="597"/>
      <c r="G15" s="597"/>
      <c r="H15" s="597"/>
      <c r="I15" s="597"/>
      <c r="J15" s="598"/>
    </row>
    <row r="16" spans="1:10" ht="12.75" customHeight="1" x14ac:dyDescent="0.2">
      <c r="A16" s="596"/>
      <c r="B16" s="597"/>
      <c r="C16" s="597"/>
      <c r="D16" s="597"/>
      <c r="E16" s="597"/>
      <c r="F16" s="597"/>
      <c r="G16" s="597"/>
      <c r="H16" s="597"/>
      <c r="I16" s="597"/>
      <c r="J16" s="598"/>
    </row>
    <row r="17" spans="1:10" ht="15" customHeight="1" x14ac:dyDescent="0.2">
      <c r="A17" s="599"/>
      <c r="B17" s="600"/>
      <c r="C17" s="600"/>
      <c r="D17" s="600"/>
      <c r="E17" s="600"/>
      <c r="F17" s="600"/>
      <c r="G17" s="600"/>
      <c r="H17" s="600"/>
      <c r="I17" s="600"/>
      <c r="J17" s="601"/>
    </row>
    <row r="18" spans="1:10" ht="12.75" customHeight="1" x14ac:dyDescent="0.2">
      <c r="A18" s="610"/>
      <c r="B18" s="611"/>
      <c r="C18" s="611"/>
      <c r="D18" s="611"/>
      <c r="E18" s="611"/>
      <c r="F18" s="611"/>
      <c r="G18" s="611"/>
      <c r="H18" s="611"/>
      <c r="I18" s="611"/>
      <c r="J18" s="612"/>
    </row>
    <row r="19" spans="1:10" ht="12.75" customHeight="1" x14ac:dyDescent="0.2">
      <c r="A19" s="610"/>
      <c r="B19" s="611"/>
      <c r="C19" s="611"/>
      <c r="D19" s="611"/>
      <c r="E19" s="611"/>
      <c r="F19" s="611"/>
      <c r="G19" s="611"/>
      <c r="H19" s="611"/>
      <c r="I19" s="611"/>
      <c r="J19" s="612"/>
    </row>
    <row r="20" spans="1:10" ht="12.75" customHeight="1" x14ac:dyDescent="0.2">
      <c r="A20" s="610"/>
      <c r="B20" s="611"/>
      <c r="C20" s="611"/>
      <c r="D20" s="611"/>
      <c r="E20" s="611"/>
      <c r="F20" s="611"/>
      <c r="G20" s="611"/>
      <c r="H20" s="611"/>
      <c r="I20" s="611"/>
      <c r="J20" s="612"/>
    </row>
    <row r="21" spans="1:10" ht="12.75" customHeight="1" x14ac:dyDescent="0.2">
      <c r="A21" s="610"/>
      <c r="B21" s="611"/>
      <c r="C21" s="611"/>
      <c r="D21" s="611"/>
      <c r="E21" s="611"/>
      <c r="F21" s="611"/>
      <c r="G21" s="611"/>
      <c r="H21" s="611"/>
      <c r="I21" s="611"/>
      <c r="J21" s="612"/>
    </row>
    <row r="22" spans="1:10" ht="12.75" customHeight="1" x14ac:dyDescent="0.2">
      <c r="A22" s="610"/>
      <c r="B22" s="611"/>
      <c r="C22" s="611"/>
      <c r="D22" s="611"/>
      <c r="E22" s="611"/>
      <c r="F22" s="611"/>
      <c r="G22" s="611"/>
      <c r="H22" s="611"/>
      <c r="I22" s="611"/>
      <c r="J22" s="612"/>
    </row>
    <row r="23" spans="1:10" ht="12.75" customHeight="1" x14ac:dyDescent="0.2">
      <c r="A23" s="610"/>
      <c r="B23" s="611"/>
      <c r="C23" s="611"/>
      <c r="D23" s="611"/>
      <c r="E23" s="611"/>
      <c r="F23" s="611"/>
      <c r="G23" s="611"/>
      <c r="H23" s="611"/>
      <c r="I23" s="611"/>
      <c r="J23" s="612"/>
    </row>
    <row r="24" spans="1:10" ht="12.75" customHeight="1" x14ac:dyDescent="0.2">
      <c r="A24" s="610"/>
      <c r="B24" s="611"/>
      <c r="C24" s="611"/>
      <c r="D24" s="611"/>
      <c r="E24" s="611"/>
      <c r="F24" s="611"/>
      <c r="G24" s="611"/>
      <c r="H24" s="611"/>
      <c r="I24" s="611"/>
      <c r="J24" s="612"/>
    </row>
    <row r="25" spans="1:10" ht="12.75" customHeight="1" x14ac:dyDescent="0.2">
      <c r="A25" s="610"/>
      <c r="B25" s="611"/>
      <c r="C25" s="611"/>
      <c r="D25" s="611"/>
      <c r="E25" s="611"/>
      <c r="F25" s="611"/>
      <c r="G25" s="611"/>
      <c r="H25" s="611"/>
      <c r="I25" s="611"/>
      <c r="J25" s="612"/>
    </row>
    <row r="26" spans="1:10" ht="12.75" customHeight="1" x14ac:dyDescent="0.2">
      <c r="A26" s="610"/>
      <c r="B26" s="611"/>
      <c r="C26" s="611"/>
      <c r="D26" s="611"/>
      <c r="E26" s="611"/>
      <c r="F26" s="611"/>
      <c r="G26" s="611"/>
      <c r="H26" s="611"/>
      <c r="I26" s="611"/>
      <c r="J26" s="612"/>
    </row>
    <row r="27" spans="1:10" ht="12.75" customHeight="1" x14ac:dyDescent="0.2">
      <c r="A27" s="610"/>
      <c r="B27" s="611"/>
      <c r="C27" s="611"/>
      <c r="D27" s="611"/>
      <c r="E27" s="611"/>
      <c r="F27" s="611"/>
      <c r="G27" s="611"/>
      <c r="H27" s="611"/>
      <c r="I27" s="611"/>
      <c r="J27" s="612"/>
    </row>
    <row r="28" spans="1:10" ht="12.75" customHeight="1" x14ac:dyDescent="0.2">
      <c r="A28" s="610"/>
      <c r="B28" s="611"/>
      <c r="C28" s="611"/>
      <c r="D28" s="611"/>
      <c r="E28" s="611"/>
      <c r="F28" s="611"/>
      <c r="G28" s="611"/>
      <c r="H28" s="611"/>
      <c r="I28" s="611"/>
      <c r="J28" s="612"/>
    </row>
    <row r="29" spans="1:10" ht="12.75" customHeight="1" x14ac:dyDescent="0.2">
      <c r="A29" s="610"/>
      <c r="B29" s="611"/>
      <c r="C29" s="611"/>
      <c r="D29" s="611"/>
      <c r="E29" s="611"/>
      <c r="F29" s="611"/>
      <c r="G29" s="611"/>
      <c r="H29" s="611"/>
      <c r="I29" s="611"/>
      <c r="J29" s="612"/>
    </row>
    <row r="30" spans="1:10" ht="12.75" customHeight="1" x14ac:dyDescent="0.2">
      <c r="A30" s="610"/>
      <c r="B30" s="611"/>
      <c r="C30" s="611"/>
      <c r="D30" s="611"/>
      <c r="E30" s="611"/>
      <c r="F30" s="611"/>
      <c r="G30" s="611"/>
      <c r="H30" s="611"/>
      <c r="I30" s="611"/>
      <c r="J30" s="612"/>
    </row>
    <row r="31" spans="1:10" ht="12.75" customHeight="1" x14ac:dyDescent="0.2">
      <c r="A31" s="610"/>
      <c r="B31" s="611"/>
      <c r="C31" s="611"/>
      <c r="D31" s="611"/>
      <c r="E31" s="611"/>
      <c r="F31" s="611"/>
      <c r="G31" s="611"/>
      <c r="H31" s="611"/>
      <c r="I31" s="611"/>
      <c r="J31" s="612"/>
    </row>
    <row r="32" spans="1:10" ht="12.75" customHeight="1" x14ac:dyDescent="0.2">
      <c r="A32" s="610"/>
      <c r="B32" s="611"/>
      <c r="C32" s="611"/>
      <c r="D32" s="611"/>
      <c r="E32" s="611"/>
      <c r="F32" s="611"/>
      <c r="G32" s="611"/>
      <c r="H32" s="611"/>
      <c r="I32" s="611"/>
      <c r="J32" s="612"/>
    </row>
    <row r="33" spans="1:10" ht="12.75" customHeight="1" x14ac:dyDescent="0.2">
      <c r="A33" s="610"/>
      <c r="B33" s="611"/>
      <c r="C33" s="611"/>
      <c r="D33" s="611"/>
      <c r="E33" s="611"/>
      <c r="F33" s="611"/>
      <c r="G33" s="611"/>
      <c r="H33" s="611"/>
      <c r="I33" s="611"/>
      <c r="J33" s="612"/>
    </row>
    <row r="34" spans="1:10" ht="12.75" customHeight="1" x14ac:dyDescent="0.2">
      <c r="A34" s="610"/>
      <c r="B34" s="611"/>
      <c r="C34" s="611"/>
      <c r="D34" s="611"/>
      <c r="E34" s="611"/>
      <c r="F34" s="611"/>
      <c r="G34" s="611"/>
      <c r="H34" s="611"/>
      <c r="I34" s="611"/>
      <c r="J34" s="612"/>
    </row>
    <row r="35" spans="1:10" ht="12.75" customHeight="1" x14ac:dyDescent="0.2">
      <c r="A35" s="610"/>
      <c r="B35" s="611"/>
      <c r="C35" s="611"/>
      <c r="D35" s="611"/>
      <c r="E35" s="611"/>
      <c r="F35" s="611"/>
      <c r="G35" s="611"/>
      <c r="H35" s="611"/>
      <c r="I35" s="611"/>
      <c r="J35" s="612"/>
    </row>
    <row r="36" spans="1:10" ht="12.75" customHeight="1" x14ac:dyDescent="0.2">
      <c r="A36" s="610"/>
      <c r="B36" s="611"/>
      <c r="C36" s="611"/>
      <c r="D36" s="611"/>
      <c r="E36" s="611"/>
      <c r="F36" s="611"/>
      <c r="G36" s="611"/>
      <c r="H36" s="611"/>
      <c r="I36" s="611"/>
      <c r="J36" s="612"/>
    </row>
    <row r="37" spans="1:10" ht="12.75" customHeight="1" x14ac:dyDescent="0.2">
      <c r="A37" s="610"/>
      <c r="B37" s="611"/>
      <c r="C37" s="611"/>
      <c r="D37" s="611"/>
      <c r="E37" s="611"/>
      <c r="F37" s="611"/>
      <c r="G37" s="611"/>
      <c r="H37" s="611"/>
      <c r="I37" s="611"/>
      <c r="J37" s="612"/>
    </row>
    <row r="38" spans="1:10" ht="12.75" customHeight="1" x14ac:dyDescent="0.2">
      <c r="A38" s="610"/>
      <c r="B38" s="611"/>
      <c r="C38" s="611"/>
      <c r="D38" s="611"/>
      <c r="E38" s="611"/>
      <c r="F38" s="611"/>
      <c r="G38" s="611"/>
      <c r="H38" s="611"/>
      <c r="I38" s="611"/>
      <c r="J38" s="612"/>
    </row>
    <row r="39" spans="1:10" ht="12.75" customHeight="1" x14ac:dyDescent="0.2">
      <c r="A39" s="610"/>
      <c r="B39" s="611"/>
      <c r="C39" s="611"/>
      <c r="D39" s="611"/>
      <c r="E39" s="611"/>
      <c r="F39" s="611"/>
      <c r="G39" s="611"/>
      <c r="H39" s="611"/>
      <c r="I39" s="611"/>
      <c r="J39" s="612"/>
    </row>
    <row r="40" spans="1:10" ht="12.75" customHeight="1" x14ac:dyDescent="0.2">
      <c r="A40" s="610"/>
      <c r="B40" s="611"/>
      <c r="C40" s="611"/>
      <c r="D40" s="611"/>
      <c r="E40" s="611"/>
      <c r="F40" s="611"/>
      <c r="G40" s="611"/>
      <c r="H40" s="611"/>
      <c r="I40" s="611"/>
      <c r="J40" s="612"/>
    </row>
    <row r="41" spans="1:10" ht="12.75" customHeight="1" x14ac:dyDescent="0.2">
      <c r="A41" s="610"/>
      <c r="B41" s="611"/>
      <c r="C41" s="611"/>
      <c r="D41" s="611"/>
      <c r="E41" s="611"/>
      <c r="F41" s="611"/>
      <c r="G41" s="611"/>
      <c r="H41" s="611"/>
      <c r="I41" s="611"/>
      <c r="J41" s="612"/>
    </row>
    <row r="42" spans="1:10" ht="12.75" customHeight="1" x14ac:dyDescent="0.2">
      <c r="A42" s="610"/>
      <c r="B42" s="611"/>
      <c r="C42" s="611"/>
      <c r="D42" s="611"/>
      <c r="E42" s="611"/>
      <c r="F42" s="611"/>
      <c r="G42" s="611"/>
      <c r="H42" s="611"/>
      <c r="I42" s="611"/>
      <c r="J42" s="612"/>
    </row>
    <row r="43" spans="1:10" s="61" customFormat="1" x14ac:dyDescent="0.2">
      <c r="A43" s="55"/>
      <c r="B43" s="56"/>
      <c r="C43" s="57"/>
      <c r="D43" s="58"/>
      <c r="E43" s="58"/>
      <c r="F43" s="58"/>
      <c r="G43" s="58"/>
      <c r="H43" s="59"/>
      <c r="I43" s="57"/>
      <c r="J43" s="60"/>
    </row>
    <row r="44" spans="1:10" s="61" customFormat="1" ht="25.5" customHeight="1" x14ac:dyDescent="0.2">
      <c r="A44" s="602" t="s">
        <v>172</v>
      </c>
      <c r="B44" s="603"/>
      <c r="C44" s="603"/>
      <c r="D44" s="603"/>
      <c r="E44" s="603"/>
      <c r="F44" s="603"/>
      <c r="G44" s="603"/>
      <c r="H44" s="603"/>
      <c r="I44" s="603"/>
      <c r="J44" s="604"/>
    </row>
    <row r="45" spans="1:10" s="61" customFormat="1" ht="12.75" customHeight="1" x14ac:dyDescent="0.2">
      <c r="A45" s="348" t="s">
        <v>169</v>
      </c>
      <c r="B45" s="349"/>
      <c r="C45" s="349"/>
      <c r="D45" s="349"/>
      <c r="E45" s="349"/>
      <c r="F45" s="614"/>
      <c r="G45" s="614"/>
      <c r="H45" s="614"/>
      <c r="I45" s="614"/>
      <c r="J45" s="615"/>
    </row>
    <row r="46" spans="1:10" ht="12.75" customHeight="1" x14ac:dyDescent="0.2">
      <c r="A46" s="593" t="s">
        <v>369</v>
      </c>
      <c r="B46" s="594"/>
      <c r="C46" s="594"/>
      <c r="D46" s="594"/>
      <c r="E46" s="594"/>
      <c r="F46" s="594"/>
      <c r="G46" s="594"/>
      <c r="H46" s="594"/>
      <c r="I46" s="594"/>
      <c r="J46" s="595"/>
    </row>
    <row r="47" spans="1:10" ht="12.75" customHeight="1" x14ac:dyDescent="0.2">
      <c r="A47" s="596"/>
      <c r="B47" s="597"/>
      <c r="C47" s="597"/>
      <c r="D47" s="597"/>
      <c r="E47" s="597"/>
      <c r="F47" s="597"/>
      <c r="G47" s="597"/>
      <c r="H47" s="597"/>
      <c r="I47" s="597"/>
      <c r="J47" s="598"/>
    </row>
    <row r="48" spans="1:10" ht="12.75" customHeight="1" x14ac:dyDescent="0.2">
      <c r="A48" s="596"/>
      <c r="B48" s="597"/>
      <c r="C48" s="597"/>
      <c r="D48" s="597"/>
      <c r="E48" s="597"/>
      <c r="F48" s="597"/>
      <c r="G48" s="597"/>
      <c r="H48" s="597"/>
      <c r="I48" s="597"/>
      <c r="J48" s="598"/>
    </row>
    <row r="49" spans="1:10" ht="15" customHeight="1" x14ac:dyDescent="0.2">
      <c r="A49" s="599"/>
      <c r="B49" s="600"/>
      <c r="C49" s="600"/>
      <c r="D49" s="600"/>
      <c r="E49" s="600"/>
      <c r="F49" s="600"/>
      <c r="G49" s="600"/>
      <c r="H49" s="600"/>
      <c r="I49" s="600"/>
      <c r="J49" s="601"/>
    </row>
    <row r="50" spans="1:10" ht="12.75" customHeight="1" x14ac:dyDescent="0.2">
      <c r="A50" s="610"/>
      <c r="B50" s="611"/>
      <c r="C50" s="611"/>
      <c r="D50" s="611"/>
      <c r="E50" s="611"/>
      <c r="F50" s="611"/>
      <c r="G50" s="611"/>
      <c r="H50" s="611"/>
      <c r="I50" s="611"/>
      <c r="J50" s="612"/>
    </row>
    <row r="51" spans="1:10" ht="12.75" customHeight="1" x14ac:dyDescent="0.2">
      <c r="A51" s="610"/>
      <c r="B51" s="611"/>
      <c r="C51" s="611"/>
      <c r="D51" s="611"/>
      <c r="E51" s="611"/>
      <c r="F51" s="611"/>
      <c r="G51" s="611"/>
      <c r="H51" s="611"/>
      <c r="I51" s="611"/>
      <c r="J51" s="612"/>
    </row>
    <row r="52" spans="1:10" ht="12.75" customHeight="1" x14ac:dyDescent="0.2">
      <c r="A52" s="610"/>
      <c r="B52" s="611"/>
      <c r="C52" s="611"/>
      <c r="D52" s="611"/>
      <c r="E52" s="611"/>
      <c r="F52" s="611"/>
      <c r="G52" s="611"/>
      <c r="H52" s="611"/>
      <c r="I52" s="611"/>
      <c r="J52" s="612"/>
    </row>
    <row r="53" spans="1:10" ht="12.75" customHeight="1" x14ac:dyDescent="0.2">
      <c r="A53" s="610"/>
      <c r="B53" s="611"/>
      <c r="C53" s="611"/>
      <c r="D53" s="611"/>
      <c r="E53" s="611"/>
      <c r="F53" s="611"/>
      <c r="G53" s="611"/>
      <c r="H53" s="611"/>
      <c r="I53" s="611"/>
      <c r="J53" s="612"/>
    </row>
    <row r="54" spans="1:10" ht="12.75" customHeight="1" x14ac:dyDescent="0.2">
      <c r="A54" s="610"/>
      <c r="B54" s="611"/>
      <c r="C54" s="611"/>
      <c r="D54" s="611"/>
      <c r="E54" s="611"/>
      <c r="F54" s="611"/>
      <c r="G54" s="611"/>
      <c r="H54" s="611"/>
      <c r="I54" s="611"/>
      <c r="J54" s="612"/>
    </row>
    <row r="55" spans="1:10" ht="12.75" customHeight="1" x14ac:dyDescent="0.2">
      <c r="A55" s="610"/>
      <c r="B55" s="611"/>
      <c r="C55" s="611"/>
      <c r="D55" s="611"/>
      <c r="E55" s="611"/>
      <c r="F55" s="611"/>
      <c r="G55" s="611"/>
      <c r="H55" s="611"/>
      <c r="I55" s="611"/>
      <c r="J55" s="612"/>
    </row>
    <row r="56" spans="1:10" ht="12.75" customHeight="1" x14ac:dyDescent="0.2">
      <c r="A56" s="610"/>
      <c r="B56" s="611"/>
      <c r="C56" s="611"/>
      <c r="D56" s="611"/>
      <c r="E56" s="611"/>
      <c r="F56" s="611"/>
      <c r="G56" s="611"/>
      <c r="H56" s="611"/>
      <c r="I56" s="611"/>
      <c r="J56" s="612"/>
    </row>
    <row r="57" spans="1:10" ht="12.75" customHeight="1" x14ac:dyDescent="0.2">
      <c r="A57" s="610"/>
      <c r="B57" s="611"/>
      <c r="C57" s="611"/>
      <c r="D57" s="611"/>
      <c r="E57" s="611"/>
      <c r="F57" s="611"/>
      <c r="G57" s="611"/>
      <c r="H57" s="611"/>
      <c r="I57" s="611"/>
      <c r="J57" s="612"/>
    </row>
    <row r="58" spans="1:10" ht="12.75" customHeight="1" x14ac:dyDescent="0.2">
      <c r="A58" s="610"/>
      <c r="B58" s="611"/>
      <c r="C58" s="611"/>
      <c r="D58" s="611"/>
      <c r="E58" s="611"/>
      <c r="F58" s="611"/>
      <c r="G58" s="611"/>
      <c r="H58" s="611"/>
      <c r="I58" s="611"/>
      <c r="J58" s="612"/>
    </row>
    <row r="59" spans="1:10" ht="12.75" customHeight="1" x14ac:dyDescent="0.2">
      <c r="A59" s="610"/>
      <c r="B59" s="611"/>
      <c r="C59" s="611"/>
      <c r="D59" s="611"/>
      <c r="E59" s="611"/>
      <c r="F59" s="611"/>
      <c r="G59" s="611"/>
      <c r="H59" s="611"/>
      <c r="I59" s="611"/>
      <c r="J59" s="612"/>
    </row>
    <row r="60" spans="1:10" ht="12.75" customHeight="1" x14ac:dyDescent="0.2">
      <c r="A60" s="610"/>
      <c r="B60" s="611"/>
      <c r="C60" s="611"/>
      <c r="D60" s="611"/>
      <c r="E60" s="611"/>
      <c r="F60" s="611"/>
      <c r="G60" s="611"/>
      <c r="H60" s="611"/>
      <c r="I60" s="611"/>
      <c r="J60" s="612"/>
    </row>
    <row r="61" spans="1:10" ht="12.75" customHeight="1" x14ac:dyDescent="0.2">
      <c r="A61" s="610"/>
      <c r="B61" s="611"/>
      <c r="C61" s="611"/>
      <c r="D61" s="611"/>
      <c r="E61" s="611"/>
      <c r="F61" s="611"/>
      <c r="G61" s="611"/>
      <c r="H61" s="611"/>
      <c r="I61" s="611"/>
      <c r="J61" s="612"/>
    </row>
    <row r="62" spans="1:10" ht="12.75" customHeight="1" x14ac:dyDescent="0.2">
      <c r="A62" s="610"/>
      <c r="B62" s="611"/>
      <c r="C62" s="611"/>
      <c r="D62" s="611"/>
      <c r="E62" s="611"/>
      <c r="F62" s="611"/>
      <c r="G62" s="611"/>
      <c r="H62" s="611"/>
      <c r="I62" s="611"/>
      <c r="J62" s="612"/>
    </row>
    <row r="63" spans="1:10" ht="12.75" customHeight="1" x14ac:dyDescent="0.2">
      <c r="A63" s="610"/>
      <c r="B63" s="611"/>
      <c r="C63" s="611"/>
      <c r="D63" s="611"/>
      <c r="E63" s="611"/>
      <c r="F63" s="611"/>
      <c r="G63" s="611"/>
      <c r="H63" s="611"/>
      <c r="I63" s="611"/>
      <c r="J63" s="612"/>
    </row>
    <row r="64" spans="1:10" ht="12.75" customHeight="1" x14ac:dyDescent="0.2">
      <c r="A64" s="610"/>
      <c r="B64" s="611"/>
      <c r="C64" s="611"/>
      <c r="D64" s="611"/>
      <c r="E64" s="611"/>
      <c r="F64" s="611"/>
      <c r="G64" s="611"/>
      <c r="H64" s="611"/>
      <c r="I64" s="611"/>
      <c r="J64" s="612"/>
    </row>
    <row r="65" spans="1:10" ht="12.75" customHeight="1" x14ac:dyDescent="0.2">
      <c r="A65" s="610"/>
      <c r="B65" s="611"/>
      <c r="C65" s="611"/>
      <c r="D65" s="611"/>
      <c r="E65" s="611"/>
      <c r="F65" s="611"/>
      <c r="G65" s="611"/>
      <c r="H65" s="611"/>
      <c r="I65" s="611"/>
      <c r="J65" s="612"/>
    </row>
    <row r="66" spans="1:10" ht="12.75" customHeight="1" x14ac:dyDescent="0.2">
      <c r="A66" s="610"/>
      <c r="B66" s="611"/>
      <c r="C66" s="611"/>
      <c r="D66" s="611"/>
      <c r="E66" s="611"/>
      <c r="F66" s="611"/>
      <c r="G66" s="611"/>
      <c r="H66" s="611"/>
      <c r="I66" s="611"/>
      <c r="J66" s="612"/>
    </row>
    <row r="67" spans="1:10" ht="12.75" customHeight="1" x14ac:dyDescent="0.2">
      <c r="A67" s="610"/>
      <c r="B67" s="611"/>
      <c r="C67" s="611"/>
      <c r="D67" s="611"/>
      <c r="E67" s="611"/>
      <c r="F67" s="611"/>
      <c r="G67" s="611"/>
      <c r="H67" s="611"/>
      <c r="I67" s="611"/>
      <c r="J67" s="612"/>
    </row>
    <row r="68" spans="1:10" ht="12.75" customHeight="1" x14ac:dyDescent="0.2">
      <c r="A68" s="610"/>
      <c r="B68" s="611"/>
      <c r="C68" s="611"/>
      <c r="D68" s="611"/>
      <c r="E68" s="611"/>
      <c r="F68" s="611"/>
      <c r="G68" s="611"/>
      <c r="H68" s="611"/>
      <c r="I68" s="611"/>
      <c r="J68" s="612"/>
    </row>
    <row r="69" spans="1:10" ht="12.75" customHeight="1" x14ac:dyDescent="0.2">
      <c r="A69" s="610"/>
      <c r="B69" s="611"/>
      <c r="C69" s="611"/>
      <c r="D69" s="611"/>
      <c r="E69" s="611"/>
      <c r="F69" s="611"/>
      <c r="G69" s="611"/>
      <c r="H69" s="611"/>
      <c r="I69" s="611"/>
      <c r="J69" s="612"/>
    </row>
    <row r="70" spans="1:10" ht="12.75" customHeight="1" x14ac:dyDescent="0.2">
      <c r="A70" s="610"/>
      <c r="B70" s="611"/>
      <c r="C70" s="611"/>
      <c r="D70" s="611"/>
      <c r="E70" s="611"/>
      <c r="F70" s="611"/>
      <c r="G70" s="611"/>
      <c r="H70" s="611"/>
      <c r="I70" s="611"/>
      <c r="J70" s="612"/>
    </row>
    <row r="71" spans="1:10" ht="12.75" customHeight="1" x14ac:dyDescent="0.2">
      <c r="A71" s="610"/>
      <c r="B71" s="611"/>
      <c r="C71" s="611"/>
      <c r="D71" s="611"/>
      <c r="E71" s="611"/>
      <c r="F71" s="611"/>
      <c r="G71" s="611"/>
      <c r="H71" s="611"/>
      <c r="I71" s="611"/>
      <c r="J71" s="612"/>
    </row>
    <row r="72" spans="1:10" ht="12.75" customHeight="1" x14ac:dyDescent="0.2">
      <c r="A72" s="610"/>
      <c r="B72" s="611"/>
      <c r="C72" s="611"/>
      <c r="D72" s="611"/>
      <c r="E72" s="611"/>
      <c r="F72" s="611"/>
      <c r="G72" s="611"/>
      <c r="H72" s="611"/>
      <c r="I72" s="611"/>
      <c r="J72" s="612"/>
    </row>
    <row r="73" spans="1:10" ht="12.75" customHeight="1" x14ac:dyDescent="0.2">
      <c r="A73" s="610"/>
      <c r="B73" s="611"/>
      <c r="C73" s="611"/>
      <c r="D73" s="611"/>
      <c r="E73" s="611"/>
      <c r="F73" s="611"/>
      <c r="G73" s="611"/>
      <c r="H73" s="611"/>
      <c r="I73" s="611"/>
      <c r="J73" s="612"/>
    </row>
    <row r="74" spans="1:10" ht="12.75" customHeight="1" x14ac:dyDescent="0.2">
      <c r="A74" s="610"/>
      <c r="B74" s="611"/>
      <c r="C74" s="611"/>
      <c r="D74" s="611"/>
      <c r="E74" s="611"/>
      <c r="F74" s="611"/>
      <c r="G74" s="611"/>
      <c r="H74" s="611"/>
      <c r="I74" s="611"/>
      <c r="J74" s="612"/>
    </row>
    <row r="75" spans="1:10" ht="12.75" customHeight="1" x14ac:dyDescent="0.2">
      <c r="A75" s="610"/>
      <c r="B75" s="611"/>
      <c r="C75" s="611"/>
      <c r="D75" s="611"/>
      <c r="E75" s="611"/>
      <c r="F75" s="611"/>
      <c r="G75" s="611"/>
      <c r="H75" s="611"/>
      <c r="I75" s="611"/>
      <c r="J75" s="612"/>
    </row>
    <row r="76" spans="1:10" ht="12.75" customHeight="1" x14ac:dyDescent="0.2">
      <c r="A76" s="610"/>
      <c r="B76" s="611"/>
      <c r="C76" s="611"/>
      <c r="D76" s="611"/>
      <c r="E76" s="611"/>
      <c r="F76" s="611"/>
      <c r="G76" s="611"/>
      <c r="H76" s="611"/>
      <c r="I76" s="611"/>
      <c r="J76" s="612"/>
    </row>
    <row r="77" spans="1:10" ht="12.75" customHeight="1" x14ac:dyDescent="0.2">
      <c r="A77" s="610"/>
      <c r="B77" s="611"/>
      <c r="C77" s="611"/>
      <c r="D77" s="611"/>
      <c r="E77" s="611"/>
      <c r="F77" s="611"/>
      <c r="G77" s="611"/>
      <c r="H77" s="611"/>
      <c r="I77" s="611"/>
      <c r="J77" s="612"/>
    </row>
    <row r="78" spans="1:10" ht="12.75" customHeight="1" x14ac:dyDescent="0.2">
      <c r="A78" s="610"/>
      <c r="B78" s="611"/>
      <c r="C78" s="611"/>
      <c r="D78" s="611"/>
      <c r="E78" s="611"/>
      <c r="F78" s="611"/>
      <c r="G78" s="611"/>
      <c r="H78" s="611"/>
      <c r="I78" s="611"/>
      <c r="J78" s="612"/>
    </row>
    <row r="79" spans="1:10" ht="12.75" customHeight="1" x14ac:dyDescent="0.2">
      <c r="A79" s="610"/>
      <c r="B79" s="611"/>
      <c r="C79" s="611"/>
      <c r="D79" s="611"/>
      <c r="E79" s="611"/>
      <c r="F79" s="611"/>
      <c r="G79" s="611"/>
      <c r="H79" s="611"/>
      <c r="I79" s="611"/>
      <c r="J79" s="612"/>
    </row>
    <row r="80" spans="1:10" ht="12.75" customHeight="1" x14ac:dyDescent="0.2">
      <c r="A80" s="610"/>
      <c r="B80" s="611"/>
      <c r="C80" s="611"/>
      <c r="D80" s="611"/>
      <c r="E80" s="611"/>
      <c r="F80" s="611"/>
      <c r="G80" s="611"/>
      <c r="H80" s="611"/>
      <c r="I80" s="611"/>
      <c r="J80" s="612"/>
    </row>
    <row r="81" spans="1:10" ht="12.75" customHeight="1" x14ac:dyDescent="0.2">
      <c r="A81" s="610"/>
      <c r="B81" s="611"/>
      <c r="C81" s="611"/>
      <c r="D81" s="611"/>
      <c r="E81" s="611"/>
      <c r="F81" s="611"/>
      <c r="G81" s="611"/>
      <c r="H81" s="611"/>
      <c r="I81" s="611"/>
      <c r="J81" s="612"/>
    </row>
    <row r="82" spans="1:10" ht="12.75" customHeight="1" x14ac:dyDescent="0.2">
      <c r="A82" s="610"/>
      <c r="B82" s="611"/>
      <c r="C82" s="611"/>
      <c r="D82" s="611"/>
      <c r="E82" s="611"/>
      <c r="F82" s="611"/>
      <c r="G82" s="611"/>
      <c r="H82" s="611"/>
      <c r="I82" s="611"/>
      <c r="J82" s="612"/>
    </row>
    <row r="83" spans="1:10" ht="12.75" customHeight="1" x14ac:dyDescent="0.2">
      <c r="A83" s="610"/>
      <c r="B83" s="611"/>
      <c r="C83" s="611"/>
      <c r="D83" s="611"/>
      <c r="E83" s="611"/>
      <c r="F83" s="611"/>
      <c r="G83" s="611"/>
      <c r="H83" s="611"/>
      <c r="I83" s="611"/>
      <c r="J83" s="612"/>
    </row>
    <row r="84" spans="1:10" ht="12.75" customHeight="1" x14ac:dyDescent="0.2">
      <c r="A84" s="610"/>
      <c r="B84" s="611"/>
      <c r="C84" s="611"/>
      <c r="D84" s="611"/>
      <c r="E84" s="611"/>
      <c r="F84" s="611"/>
      <c r="G84" s="611"/>
      <c r="H84" s="611"/>
      <c r="I84" s="611"/>
      <c r="J84" s="612"/>
    </row>
    <row r="85" spans="1:10" s="61" customFormat="1" x14ac:dyDescent="0.2">
      <c r="A85" s="55"/>
      <c r="B85" s="56"/>
      <c r="C85" s="57"/>
      <c r="D85" s="58"/>
      <c r="E85" s="58"/>
      <c r="F85" s="58"/>
      <c r="G85" s="58"/>
      <c r="H85" s="59"/>
      <c r="I85" s="57"/>
      <c r="J85" s="60"/>
    </row>
    <row r="86" spans="1:10" s="61" customFormat="1" ht="25.5" customHeight="1" x14ac:dyDescent="0.2">
      <c r="A86" s="602" t="s">
        <v>173</v>
      </c>
      <c r="B86" s="603"/>
      <c r="C86" s="603"/>
      <c r="D86" s="603"/>
      <c r="E86" s="603"/>
      <c r="F86" s="603"/>
      <c r="G86" s="603"/>
      <c r="H86" s="603"/>
      <c r="I86" s="603"/>
      <c r="J86" s="604"/>
    </row>
    <row r="87" spans="1:10" s="61" customFormat="1" ht="12.75" customHeight="1" x14ac:dyDescent="0.2">
      <c r="A87" s="348" t="s">
        <v>169</v>
      </c>
      <c r="B87" s="349"/>
      <c r="C87" s="349"/>
      <c r="D87" s="349"/>
      <c r="E87" s="349"/>
      <c r="F87" s="614"/>
      <c r="G87" s="614"/>
      <c r="H87" s="614"/>
      <c r="I87" s="614"/>
      <c r="J87" s="615"/>
    </row>
    <row r="88" spans="1:10" ht="12.75" customHeight="1" x14ac:dyDescent="0.2">
      <c r="A88" s="593" t="s">
        <v>369</v>
      </c>
      <c r="B88" s="594"/>
      <c r="C88" s="594"/>
      <c r="D88" s="594"/>
      <c r="E88" s="594"/>
      <c r="F88" s="594"/>
      <c r="G88" s="594"/>
      <c r="H88" s="594"/>
      <c r="I88" s="594"/>
      <c r="J88" s="595"/>
    </row>
    <row r="89" spans="1:10" ht="12.75" customHeight="1" x14ac:dyDescent="0.2">
      <c r="A89" s="596"/>
      <c r="B89" s="597"/>
      <c r="C89" s="597"/>
      <c r="D89" s="597"/>
      <c r="E89" s="597"/>
      <c r="F89" s="597"/>
      <c r="G89" s="597"/>
      <c r="H89" s="597"/>
      <c r="I89" s="597"/>
      <c r="J89" s="598"/>
    </row>
    <row r="90" spans="1:10" ht="12.75" customHeight="1" x14ac:dyDescent="0.2">
      <c r="A90" s="596"/>
      <c r="B90" s="597"/>
      <c r="C90" s="597"/>
      <c r="D90" s="597"/>
      <c r="E90" s="597"/>
      <c r="F90" s="597"/>
      <c r="G90" s="597"/>
      <c r="H90" s="597"/>
      <c r="I90" s="597"/>
      <c r="J90" s="598"/>
    </row>
    <row r="91" spans="1:10" ht="15" customHeight="1" x14ac:dyDescent="0.2">
      <c r="A91" s="599"/>
      <c r="B91" s="600"/>
      <c r="C91" s="600"/>
      <c r="D91" s="600"/>
      <c r="E91" s="600"/>
      <c r="F91" s="600"/>
      <c r="G91" s="600"/>
      <c r="H91" s="600"/>
      <c r="I91" s="600"/>
      <c r="J91" s="601"/>
    </row>
    <row r="92" spans="1:10" ht="12.75" customHeight="1" x14ac:dyDescent="0.2">
      <c r="A92" s="610"/>
      <c r="B92" s="611"/>
      <c r="C92" s="611"/>
      <c r="D92" s="611"/>
      <c r="E92" s="611"/>
      <c r="F92" s="611"/>
      <c r="G92" s="611"/>
      <c r="H92" s="611"/>
      <c r="I92" s="611"/>
      <c r="J92" s="612"/>
    </row>
    <row r="93" spans="1:10" ht="12.75" customHeight="1" x14ac:dyDescent="0.2">
      <c r="A93" s="610"/>
      <c r="B93" s="611"/>
      <c r="C93" s="611"/>
      <c r="D93" s="611"/>
      <c r="E93" s="611"/>
      <c r="F93" s="611"/>
      <c r="G93" s="611"/>
      <c r="H93" s="611"/>
      <c r="I93" s="611"/>
      <c r="J93" s="612"/>
    </row>
    <row r="94" spans="1:10" ht="12.75" customHeight="1" x14ac:dyDescent="0.2">
      <c r="A94" s="610"/>
      <c r="B94" s="611"/>
      <c r="C94" s="611"/>
      <c r="D94" s="611"/>
      <c r="E94" s="611"/>
      <c r="F94" s="611"/>
      <c r="G94" s="611"/>
      <c r="H94" s="611"/>
      <c r="I94" s="611"/>
      <c r="J94" s="612"/>
    </row>
    <row r="95" spans="1:10" ht="12.75" customHeight="1" x14ac:dyDescent="0.2">
      <c r="A95" s="610"/>
      <c r="B95" s="611"/>
      <c r="C95" s="611"/>
      <c r="D95" s="611"/>
      <c r="E95" s="611"/>
      <c r="F95" s="611"/>
      <c r="G95" s="611"/>
      <c r="H95" s="611"/>
      <c r="I95" s="611"/>
      <c r="J95" s="612"/>
    </row>
    <row r="96" spans="1:10" ht="12.75" customHeight="1" x14ac:dyDescent="0.2">
      <c r="A96" s="610"/>
      <c r="B96" s="611"/>
      <c r="C96" s="611"/>
      <c r="D96" s="611"/>
      <c r="E96" s="611"/>
      <c r="F96" s="611"/>
      <c r="G96" s="611"/>
      <c r="H96" s="611"/>
      <c r="I96" s="611"/>
      <c r="J96" s="612"/>
    </row>
    <row r="97" spans="1:10" ht="12.75" customHeight="1" x14ac:dyDescent="0.2">
      <c r="A97" s="610"/>
      <c r="B97" s="611"/>
      <c r="C97" s="611"/>
      <c r="D97" s="611"/>
      <c r="E97" s="611"/>
      <c r="F97" s="611"/>
      <c r="G97" s="611"/>
      <c r="H97" s="611"/>
      <c r="I97" s="611"/>
      <c r="J97" s="612"/>
    </row>
    <row r="98" spans="1:10" ht="12.75" customHeight="1" x14ac:dyDescent="0.2">
      <c r="A98" s="610"/>
      <c r="B98" s="611"/>
      <c r="C98" s="611"/>
      <c r="D98" s="611"/>
      <c r="E98" s="611"/>
      <c r="F98" s="611"/>
      <c r="G98" s="611"/>
      <c r="H98" s="611"/>
      <c r="I98" s="611"/>
      <c r="J98" s="612"/>
    </row>
    <row r="99" spans="1:10" ht="12.75" customHeight="1" x14ac:dyDescent="0.2">
      <c r="A99" s="610"/>
      <c r="B99" s="611"/>
      <c r="C99" s="611"/>
      <c r="D99" s="611"/>
      <c r="E99" s="611"/>
      <c r="F99" s="611"/>
      <c r="G99" s="611"/>
      <c r="H99" s="611"/>
      <c r="I99" s="611"/>
      <c r="J99" s="612"/>
    </row>
    <row r="100" spans="1:10" ht="12.75" customHeight="1" x14ac:dyDescent="0.2">
      <c r="A100" s="610"/>
      <c r="B100" s="611"/>
      <c r="C100" s="611"/>
      <c r="D100" s="611"/>
      <c r="E100" s="611"/>
      <c r="F100" s="611"/>
      <c r="G100" s="611"/>
      <c r="H100" s="611"/>
      <c r="I100" s="611"/>
      <c r="J100" s="612"/>
    </row>
    <row r="101" spans="1:10" ht="12.75" customHeight="1" x14ac:dyDescent="0.2">
      <c r="A101" s="610"/>
      <c r="B101" s="611"/>
      <c r="C101" s="611"/>
      <c r="D101" s="611"/>
      <c r="E101" s="611"/>
      <c r="F101" s="611"/>
      <c r="G101" s="611"/>
      <c r="H101" s="611"/>
      <c r="I101" s="611"/>
      <c r="J101" s="612"/>
    </row>
    <row r="102" spans="1:10" ht="12.75" customHeight="1" x14ac:dyDescent="0.2">
      <c r="A102" s="610"/>
      <c r="B102" s="611"/>
      <c r="C102" s="611"/>
      <c r="D102" s="611"/>
      <c r="E102" s="611"/>
      <c r="F102" s="611"/>
      <c r="G102" s="611"/>
      <c r="H102" s="611"/>
      <c r="I102" s="611"/>
      <c r="J102" s="612"/>
    </row>
    <row r="103" spans="1:10" ht="12.75" customHeight="1" x14ac:dyDescent="0.2">
      <c r="A103" s="610"/>
      <c r="B103" s="611"/>
      <c r="C103" s="611"/>
      <c r="D103" s="611"/>
      <c r="E103" s="611"/>
      <c r="F103" s="611"/>
      <c r="G103" s="611"/>
      <c r="H103" s="611"/>
      <c r="I103" s="611"/>
      <c r="J103" s="612"/>
    </row>
    <row r="104" spans="1:10" ht="12.75" customHeight="1" x14ac:dyDescent="0.2">
      <c r="A104" s="610"/>
      <c r="B104" s="611"/>
      <c r="C104" s="611"/>
      <c r="D104" s="611"/>
      <c r="E104" s="611"/>
      <c r="F104" s="611"/>
      <c r="G104" s="611"/>
      <c r="H104" s="611"/>
      <c r="I104" s="611"/>
      <c r="J104" s="612"/>
    </row>
    <row r="105" spans="1:10" ht="12.75" customHeight="1" x14ac:dyDescent="0.2">
      <c r="A105" s="610"/>
      <c r="B105" s="611"/>
      <c r="C105" s="611"/>
      <c r="D105" s="611"/>
      <c r="E105" s="611"/>
      <c r="F105" s="611"/>
      <c r="G105" s="611"/>
      <c r="H105" s="611"/>
      <c r="I105" s="611"/>
      <c r="J105" s="612"/>
    </row>
    <row r="106" spans="1:10" ht="12.75" customHeight="1" x14ac:dyDescent="0.2">
      <c r="A106" s="610"/>
      <c r="B106" s="611"/>
      <c r="C106" s="611"/>
      <c r="D106" s="611"/>
      <c r="E106" s="611"/>
      <c r="F106" s="611"/>
      <c r="G106" s="611"/>
      <c r="H106" s="611"/>
      <c r="I106" s="611"/>
      <c r="J106" s="612"/>
    </row>
    <row r="107" spans="1:10" ht="12.75" customHeight="1" x14ac:dyDescent="0.2">
      <c r="A107" s="610"/>
      <c r="B107" s="611"/>
      <c r="C107" s="611"/>
      <c r="D107" s="611"/>
      <c r="E107" s="611"/>
      <c r="F107" s="611"/>
      <c r="G107" s="611"/>
      <c r="H107" s="611"/>
      <c r="I107" s="611"/>
      <c r="J107" s="612"/>
    </row>
    <row r="108" spans="1:10" ht="12.75" customHeight="1" x14ac:dyDescent="0.2">
      <c r="A108" s="610"/>
      <c r="B108" s="611"/>
      <c r="C108" s="611"/>
      <c r="D108" s="611"/>
      <c r="E108" s="611"/>
      <c r="F108" s="611"/>
      <c r="G108" s="611"/>
      <c r="H108" s="611"/>
      <c r="I108" s="611"/>
      <c r="J108" s="612"/>
    </row>
    <row r="109" spans="1:10" ht="12.75" customHeight="1" x14ac:dyDescent="0.2">
      <c r="A109" s="610"/>
      <c r="B109" s="611"/>
      <c r="C109" s="611"/>
      <c r="D109" s="611"/>
      <c r="E109" s="611"/>
      <c r="F109" s="611"/>
      <c r="G109" s="611"/>
      <c r="H109" s="611"/>
      <c r="I109" s="611"/>
      <c r="J109" s="612"/>
    </row>
    <row r="110" spans="1:10" ht="12.75" customHeight="1" x14ac:dyDescent="0.2">
      <c r="A110" s="610"/>
      <c r="B110" s="611"/>
      <c r="C110" s="611"/>
      <c r="D110" s="611"/>
      <c r="E110" s="611"/>
      <c r="F110" s="611"/>
      <c r="G110" s="611"/>
      <c r="H110" s="611"/>
      <c r="I110" s="611"/>
      <c r="J110" s="612"/>
    </row>
    <row r="111" spans="1:10" ht="12.75" customHeight="1" x14ac:dyDescent="0.2">
      <c r="A111" s="610"/>
      <c r="B111" s="611"/>
      <c r="C111" s="611"/>
      <c r="D111" s="611"/>
      <c r="E111" s="611"/>
      <c r="F111" s="611"/>
      <c r="G111" s="611"/>
      <c r="H111" s="611"/>
      <c r="I111" s="611"/>
      <c r="J111" s="612"/>
    </row>
    <row r="112" spans="1:10" ht="12.75" customHeight="1" x14ac:dyDescent="0.2">
      <c r="A112" s="610"/>
      <c r="B112" s="611"/>
      <c r="C112" s="611"/>
      <c r="D112" s="611"/>
      <c r="E112" s="611"/>
      <c r="F112" s="611"/>
      <c r="G112" s="611"/>
      <c r="H112" s="611"/>
      <c r="I112" s="611"/>
      <c r="J112" s="612"/>
    </row>
    <row r="113" spans="1:10" ht="12.75" customHeight="1" x14ac:dyDescent="0.2">
      <c r="A113" s="610"/>
      <c r="B113" s="611"/>
      <c r="C113" s="611"/>
      <c r="D113" s="611"/>
      <c r="E113" s="611"/>
      <c r="F113" s="611"/>
      <c r="G113" s="611"/>
      <c r="H113" s="611"/>
      <c r="I113" s="611"/>
      <c r="J113" s="612"/>
    </row>
    <row r="114" spans="1:10" ht="12.75" customHeight="1" x14ac:dyDescent="0.2">
      <c r="A114" s="610"/>
      <c r="B114" s="611"/>
      <c r="C114" s="611"/>
      <c r="D114" s="611"/>
      <c r="E114" s="611"/>
      <c r="F114" s="611"/>
      <c r="G114" s="611"/>
      <c r="H114" s="611"/>
      <c r="I114" s="611"/>
      <c r="J114" s="612"/>
    </row>
    <row r="115" spans="1:10" ht="12.75" customHeight="1" x14ac:dyDescent="0.2">
      <c r="A115" s="610"/>
      <c r="B115" s="611"/>
      <c r="C115" s="611"/>
      <c r="D115" s="611"/>
      <c r="E115" s="611"/>
      <c r="F115" s="611"/>
      <c r="G115" s="611"/>
      <c r="H115" s="611"/>
      <c r="I115" s="611"/>
      <c r="J115" s="612"/>
    </row>
    <row r="116" spans="1:10" ht="12.75" customHeight="1" x14ac:dyDescent="0.2">
      <c r="A116" s="610"/>
      <c r="B116" s="611"/>
      <c r="C116" s="611"/>
      <c r="D116" s="611"/>
      <c r="E116" s="611"/>
      <c r="F116" s="611"/>
      <c r="G116" s="611"/>
      <c r="H116" s="611"/>
      <c r="I116" s="611"/>
      <c r="J116" s="612"/>
    </row>
    <row r="117" spans="1:10" ht="12.75" customHeight="1" x14ac:dyDescent="0.2">
      <c r="A117" s="610"/>
      <c r="B117" s="611"/>
      <c r="C117" s="611"/>
      <c r="D117" s="611"/>
      <c r="E117" s="611"/>
      <c r="F117" s="611"/>
      <c r="G117" s="611"/>
      <c r="H117" s="611"/>
      <c r="I117" s="611"/>
      <c r="J117" s="612"/>
    </row>
    <row r="118" spans="1:10" ht="12.75" customHeight="1" x14ac:dyDescent="0.2">
      <c r="A118" s="610"/>
      <c r="B118" s="611"/>
      <c r="C118" s="611"/>
      <c r="D118" s="611"/>
      <c r="E118" s="611"/>
      <c r="F118" s="611"/>
      <c r="G118" s="611"/>
      <c r="H118" s="611"/>
      <c r="I118" s="611"/>
      <c r="J118" s="612"/>
    </row>
    <row r="119" spans="1:10" ht="12.75" customHeight="1" x14ac:dyDescent="0.2">
      <c r="A119" s="610"/>
      <c r="B119" s="611"/>
      <c r="C119" s="611"/>
      <c r="D119" s="611"/>
      <c r="E119" s="611"/>
      <c r="F119" s="611"/>
      <c r="G119" s="611"/>
      <c r="H119" s="611"/>
      <c r="I119" s="611"/>
      <c r="J119" s="612"/>
    </row>
    <row r="120" spans="1:10" ht="12.75" customHeight="1" x14ac:dyDescent="0.2">
      <c r="A120" s="610"/>
      <c r="B120" s="611"/>
      <c r="C120" s="611"/>
      <c r="D120" s="611"/>
      <c r="E120" s="611"/>
      <c r="F120" s="611"/>
      <c r="G120" s="611"/>
      <c r="H120" s="611"/>
      <c r="I120" s="611"/>
      <c r="J120" s="612"/>
    </row>
    <row r="121" spans="1:10" ht="12.75" customHeight="1" x14ac:dyDescent="0.2">
      <c r="A121" s="610"/>
      <c r="B121" s="611"/>
      <c r="C121" s="611"/>
      <c r="D121" s="611"/>
      <c r="E121" s="611"/>
      <c r="F121" s="611"/>
      <c r="G121" s="611"/>
      <c r="H121" s="611"/>
      <c r="I121" s="611"/>
      <c r="J121" s="612"/>
    </row>
    <row r="122" spans="1:10" ht="12.75" customHeight="1" x14ac:dyDescent="0.2">
      <c r="A122" s="610"/>
      <c r="B122" s="611"/>
      <c r="C122" s="611"/>
      <c r="D122" s="611"/>
      <c r="E122" s="611"/>
      <c r="F122" s="611"/>
      <c r="G122" s="611"/>
      <c r="H122" s="611"/>
      <c r="I122" s="611"/>
      <c r="J122" s="612"/>
    </row>
    <row r="123" spans="1:10" ht="12.75" customHeight="1" x14ac:dyDescent="0.2">
      <c r="A123" s="610"/>
      <c r="B123" s="611"/>
      <c r="C123" s="611"/>
      <c r="D123" s="611"/>
      <c r="E123" s="611"/>
      <c r="F123" s="611"/>
      <c r="G123" s="611"/>
      <c r="H123" s="611"/>
      <c r="I123" s="611"/>
      <c r="J123" s="612"/>
    </row>
    <row r="124" spans="1:10" ht="12.75" customHeight="1" x14ac:dyDescent="0.2">
      <c r="A124" s="610"/>
      <c r="B124" s="611"/>
      <c r="C124" s="611"/>
      <c r="D124" s="611"/>
      <c r="E124" s="611"/>
      <c r="F124" s="611"/>
      <c r="G124" s="611"/>
      <c r="H124" s="611"/>
      <c r="I124" s="611"/>
      <c r="J124" s="612"/>
    </row>
    <row r="125" spans="1:10" ht="12.75" customHeight="1" x14ac:dyDescent="0.2">
      <c r="A125" s="610"/>
      <c r="B125" s="611"/>
      <c r="C125" s="611"/>
      <c r="D125" s="611"/>
      <c r="E125" s="611"/>
      <c r="F125" s="611"/>
      <c r="G125" s="611"/>
      <c r="H125" s="611"/>
      <c r="I125" s="611"/>
      <c r="J125" s="612"/>
    </row>
    <row r="126" spans="1:10" ht="12.75" customHeight="1" x14ac:dyDescent="0.2">
      <c r="A126" s="610"/>
      <c r="B126" s="611"/>
      <c r="C126" s="611"/>
      <c r="D126" s="611"/>
      <c r="E126" s="611"/>
      <c r="F126" s="611"/>
      <c r="G126" s="611"/>
      <c r="H126" s="611"/>
      <c r="I126" s="611"/>
      <c r="J126" s="612"/>
    </row>
    <row r="127" spans="1:10" s="61" customFormat="1" x14ac:dyDescent="0.2">
      <c r="A127" s="55"/>
      <c r="B127" s="56"/>
      <c r="C127" s="57"/>
      <c r="D127" s="58"/>
      <c r="E127" s="58"/>
      <c r="F127" s="58"/>
      <c r="G127" s="58"/>
      <c r="H127" s="59"/>
      <c r="I127" s="57"/>
      <c r="J127" s="60"/>
    </row>
    <row r="128" spans="1:10" s="61" customFormat="1" ht="25.5" customHeight="1" x14ac:dyDescent="0.2">
      <c r="A128" s="602" t="s">
        <v>122</v>
      </c>
      <c r="B128" s="603"/>
      <c r="C128" s="603"/>
      <c r="D128" s="603"/>
      <c r="E128" s="603"/>
      <c r="F128" s="603"/>
      <c r="G128" s="603"/>
      <c r="H128" s="603"/>
      <c r="I128" s="603"/>
      <c r="J128" s="604"/>
    </row>
    <row r="129" spans="1:10" s="61" customFormat="1" ht="12.75" customHeight="1" x14ac:dyDescent="0.2">
      <c r="A129" s="348" t="s">
        <v>169</v>
      </c>
      <c r="B129" s="349"/>
      <c r="C129" s="349"/>
      <c r="D129" s="349"/>
      <c r="E129" s="349"/>
      <c r="F129" s="614"/>
      <c r="G129" s="614"/>
      <c r="H129" s="614"/>
      <c r="I129" s="614"/>
      <c r="J129" s="615"/>
    </row>
    <row r="130" spans="1:10" ht="12.75" customHeight="1" x14ac:dyDescent="0.2">
      <c r="A130" s="593" t="s">
        <v>369</v>
      </c>
      <c r="B130" s="594"/>
      <c r="C130" s="594"/>
      <c r="D130" s="594"/>
      <c r="E130" s="594"/>
      <c r="F130" s="594"/>
      <c r="G130" s="594"/>
      <c r="H130" s="594"/>
      <c r="I130" s="594"/>
      <c r="J130" s="595"/>
    </row>
    <row r="131" spans="1:10" ht="12.75" customHeight="1" x14ac:dyDescent="0.2">
      <c r="A131" s="596"/>
      <c r="B131" s="597"/>
      <c r="C131" s="597"/>
      <c r="D131" s="597"/>
      <c r="E131" s="597"/>
      <c r="F131" s="597"/>
      <c r="G131" s="597"/>
      <c r="H131" s="597"/>
      <c r="I131" s="597"/>
      <c r="J131" s="598"/>
    </row>
    <row r="132" spans="1:10" ht="12.75" customHeight="1" x14ac:dyDescent="0.2">
      <c r="A132" s="596"/>
      <c r="B132" s="597"/>
      <c r="C132" s="597"/>
      <c r="D132" s="597"/>
      <c r="E132" s="597"/>
      <c r="F132" s="597"/>
      <c r="G132" s="597"/>
      <c r="H132" s="597"/>
      <c r="I132" s="597"/>
      <c r="J132" s="598"/>
    </row>
    <row r="133" spans="1:10" ht="15" customHeight="1" x14ac:dyDescent="0.2">
      <c r="A133" s="599"/>
      <c r="B133" s="600"/>
      <c r="C133" s="600"/>
      <c r="D133" s="600"/>
      <c r="E133" s="600"/>
      <c r="F133" s="600"/>
      <c r="G133" s="600"/>
      <c r="H133" s="600"/>
      <c r="I133" s="600"/>
      <c r="J133" s="601"/>
    </row>
    <row r="134" spans="1:10" ht="12.75" customHeight="1" x14ac:dyDescent="0.2">
      <c r="A134" s="610"/>
      <c r="B134" s="611"/>
      <c r="C134" s="611"/>
      <c r="D134" s="611"/>
      <c r="E134" s="611"/>
      <c r="F134" s="611"/>
      <c r="G134" s="611"/>
      <c r="H134" s="611"/>
      <c r="I134" s="611"/>
      <c r="J134" s="612"/>
    </row>
    <row r="135" spans="1:10" ht="12.75" customHeight="1" x14ac:dyDescent="0.2">
      <c r="A135" s="610"/>
      <c r="B135" s="611"/>
      <c r="C135" s="611"/>
      <c r="D135" s="611"/>
      <c r="E135" s="611"/>
      <c r="F135" s="611"/>
      <c r="G135" s="611"/>
      <c r="H135" s="611"/>
      <c r="I135" s="611"/>
      <c r="J135" s="612"/>
    </row>
    <row r="136" spans="1:10" ht="12.75" customHeight="1" x14ac:dyDescent="0.2">
      <c r="A136" s="610"/>
      <c r="B136" s="611"/>
      <c r="C136" s="611"/>
      <c r="D136" s="611"/>
      <c r="E136" s="611"/>
      <c r="F136" s="611"/>
      <c r="G136" s="611"/>
      <c r="H136" s="611"/>
      <c r="I136" s="611"/>
      <c r="J136" s="612"/>
    </row>
    <row r="137" spans="1:10" ht="12.75" customHeight="1" x14ac:dyDescent="0.2">
      <c r="A137" s="610"/>
      <c r="B137" s="611"/>
      <c r="C137" s="611"/>
      <c r="D137" s="611"/>
      <c r="E137" s="611"/>
      <c r="F137" s="611"/>
      <c r="G137" s="611"/>
      <c r="H137" s="611"/>
      <c r="I137" s="611"/>
      <c r="J137" s="612"/>
    </row>
    <row r="138" spans="1:10" ht="12.75" customHeight="1" x14ac:dyDescent="0.2">
      <c r="A138" s="610"/>
      <c r="B138" s="611"/>
      <c r="C138" s="611"/>
      <c r="D138" s="611"/>
      <c r="E138" s="611"/>
      <c r="F138" s="611"/>
      <c r="G138" s="611"/>
      <c r="H138" s="611"/>
      <c r="I138" s="611"/>
      <c r="J138" s="612"/>
    </row>
    <row r="139" spans="1:10" ht="12.75" customHeight="1" x14ac:dyDescent="0.2">
      <c r="A139" s="610"/>
      <c r="B139" s="611"/>
      <c r="C139" s="611"/>
      <c r="D139" s="611"/>
      <c r="E139" s="611"/>
      <c r="F139" s="611"/>
      <c r="G139" s="611"/>
      <c r="H139" s="611"/>
      <c r="I139" s="611"/>
      <c r="J139" s="612"/>
    </row>
    <row r="140" spans="1:10" ht="12.75" customHeight="1" x14ac:dyDescent="0.2">
      <c r="A140" s="610"/>
      <c r="B140" s="611"/>
      <c r="C140" s="611"/>
      <c r="D140" s="611"/>
      <c r="E140" s="611"/>
      <c r="F140" s="611"/>
      <c r="G140" s="611"/>
      <c r="H140" s="611"/>
      <c r="I140" s="611"/>
      <c r="J140" s="612"/>
    </row>
    <row r="141" spans="1:10" ht="12.75" customHeight="1" x14ac:dyDescent="0.2">
      <c r="A141" s="610"/>
      <c r="B141" s="611"/>
      <c r="C141" s="611"/>
      <c r="D141" s="611"/>
      <c r="E141" s="611"/>
      <c r="F141" s="611"/>
      <c r="G141" s="611"/>
      <c r="H141" s="611"/>
      <c r="I141" s="611"/>
      <c r="J141" s="612"/>
    </row>
    <row r="142" spans="1:10" ht="12.75" customHeight="1" x14ac:dyDescent="0.2">
      <c r="A142" s="610"/>
      <c r="B142" s="611"/>
      <c r="C142" s="611"/>
      <c r="D142" s="611"/>
      <c r="E142" s="611"/>
      <c r="F142" s="611"/>
      <c r="G142" s="611"/>
      <c r="H142" s="611"/>
      <c r="I142" s="611"/>
      <c r="J142" s="612"/>
    </row>
    <row r="143" spans="1:10" ht="12.75" customHeight="1" x14ac:dyDescent="0.2">
      <c r="A143" s="610"/>
      <c r="B143" s="611"/>
      <c r="C143" s="611"/>
      <c r="D143" s="611"/>
      <c r="E143" s="611"/>
      <c r="F143" s="611"/>
      <c r="G143" s="611"/>
      <c r="H143" s="611"/>
      <c r="I143" s="611"/>
      <c r="J143" s="612"/>
    </row>
    <row r="144" spans="1:10" ht="12.75" customHeight="1" x14ac:dyDescent="0.2">
      <c r="A144" s="610"/>
      <c r="B144" s="611"/>
      <c r="C144" s="611"/>
      <c r="D144" s="611"/>
      <c r="E144" s="611"/>
      <c r="F144" s="611"/>
      <c r="G144" s="611"/>
      <c r="H144" s="611"/>
      <c r="I144" s="611"/>
      <c r="J144" s="612"/>
    </row>
    <row r="145" spans="1:10" ht="12.75" customHeight="1" x14ac:dyDescent="0.2">
      <c r="A145" s="610"/>
      <c r="B145" s="611"/>
      <c r="C145" s="611"/>
      <c r="D145" s="611"/>
      <c r="E145" s="611"/>
      <c r="F145" s="611"/>
      <c r="G145" s="611"/>
      <c r="H145" s="611"/>
      <c r="I145" s="611"/>
      <c r="J145" s="612"/>
    </row>
    <row r="146" spans="1:10" ht="12.75" customHeight="1" x14ac:dyDescent="0.2">
      <c r="A146" s="610"/>
      <c r="B146" s="611"/>
      <c r="C146" s="611"/>
      <c r="D146" s="611"/>
      <c r="E146" s="611"/>
      <c r="F146" s="611"/>
      <c r="G146" s="611"/>
      <c r="H146" s="611"/>
      <c r="I146" s="611"/>
      <c r="J146" s="612"/>
    </row>
    <row r="147" spans="1:10" ht="12.75" customHeight="1" x14ac:dyDescent="0.2">
      <c r="A147" s="610"/>
      <c r="B147" s="611"/>
      <c r="C147" s="611"/>
      <c r="D147" s="611"/>
      <c r="E147" s="611"/>
      <c r="F147" s="611"/>
      <c r="G147" s="611"/>
      <c r="H147" s="611"/>
      <c r="I147" s="611"/>
      <c r="J147" s="612"/>
    </row>
    <row r="148" spans="1:10" ht="12.75" customHeight="1" x14ac:dyDescent="0.2">
      <c r="A148" s="610"/>
      <c r="B148" s="611"/>
      <c r="C148" s="611"/>
      <c r="D148" s="611"/>
      <c r="E148" s="611"/>
      <c r="F148" s="611"/>
      <c r="G148" s="611"/>
      <c r="H148" s="611"/>
      <c r="I148" s="611"/>
      <c r="J148" s="612"/>
    </row>
    <row r="149" spans="1:10" ht="12.75" customHeight="1" x14ac:dyDescent="0.2">
      <c r="A149" s="610"/>
      <c r="B149" s="611"/>
      <c r="C149" s="611"/>
      <c r="D149" s="611"/>
      <c r="E149" s="611"/>
      <c r="F149" s="611"/>
      <c r="G149" s="611"/>
      <c r="H149" s="611"/>
      <c r="I149" s="611"/>
      <c r="J149" s="612"/>
    </row>
    <row r="150" spans="1:10" ht="12.75" customHeight="1" x14ac:dyDescent="0.2">
      <c r="A150" s="610"/>
      <c r="B150" s="611"/>
      <c r="C150" s="611"/>
      <c r="D150" s="611"/>
      <c r="E150" s="611"/>
      <c r="F150" s="611"/>
      <c r="G150" s="611"/>
      <c r="H150" s="611"/>
      <c r="I150" s="611"/>
      <c r="J150" s="612"/>
    </row>
    <row r="151" spans="1:10" ht="12.75" customHeight="1" x14ac:dyDescent="0.2">
      <c r="A151" s="610"/>
      <c r="B151" s="611"/>
      <c r="C151" s="611"/>
      <c r="D151" s="611"/>
      <c r="E151" s="611"/>
      <c r="F151" s="611"/>
      <c r="G151" s="611"/>
      <c r="H151" s="611"/>
      <c r="I151" s="611"/>
      <c r="J151" s="612"/>
    </row>
    <row r="152" spans="1:10" ht="12.75" customHeight="1" x14ac:dyDescent="0.2">
      <c r="A152" s="610"/>
      <c r="B152" s="611"/>
      <c r="C152" s="611"/>
      <c r="D152" s="611"/>
      <c r="E152" s="611"/>
      <c r="F152" s="611"/>
      <c r="G152" s="611"/>
      <c r="H152" s="611"/>
      <c r="I152" s="611"/>
      <c r="J152" s="612"/>
    </row>
    <row r="153" spans="1:10" ht="12.75" customHeight="1" x14ac:dyDescent="0.2">
      <c r="A153" s="610"/>
      <c r="B153" s="611"/>
      <c r="C153" s="611"/>
      <c r="D153" s="611"/>
      <c r="E153" s="611"/>
      <c r="F153" s="611"/>
      <c r="G153" s="611"/>
      <c r="H153" s="611"/>
      <c r="I153" s="611"/>
      <c r="J153" s="612"/>
    </row>
    <row r="154" spans="1:10" ht="12.75" customHeight="1" x14ac:dyDescent="0.2">
      <c r="A154" s="610"/>
      <c r="B154" s="611"/>
      <c r="C154" s="611"/>
      <c r="D154" s="611"/>
      <c r="E154" s="611"/>
      <c r="F154" s="611"/>
      <c r="G154" s="611"/>
      <c r="H154" s="611"/>
      <c r="I154" s="611"/>
      <c r="J154" s="612"/>
    </row>
    <row r="155" spans="1:10" ht="12.75" customHeight="1" x14ac:dyDescent="0.2">
      <c r="A155" s="610"/>
      <c r="B155" s="611"/>
      <c r="C155" s="611"/>
      <c r="D155" s="611"/>
      <c r="E155" s="611"/>
      <c r="F155" s="611"/>
      <c r="G155" s="611"/>
      <c r="H155" s="611"/>
      <c r="I155" s="611"/>
      <c r="J155" s="612"/>
    </row>
    <row r="156" spans="1:10" ht="12.75" customHeight="1" x14ac:dyDescent="0.2">
      <c r="A156" s="610"/>
      <c r="B156" s="611"/>
      <c r="C156" s="611"/>
      <c r="D156" s="611"/>
      <c r="E156" s="611"/>
      <c r="F156" s="611"/>
      <c r="G156" s="611"/>
      <c r="H156" s="611"/>
      <c r="I156" s="611"/>
      <c r="J156" s="612"/>
    </row>
    <row r="157" spans="1:10" ht="12.75" customHeight="1" x14ac:dyDescent="0.2">
      <c r="A157" s="610"/>
      <c r="B157" s="611"/>
      <c r="C157" s="611"/>
      <c r="D157" s="611"/>
      <c r="E157" s="611"/>
      <c r="F157" s="611"/>
      <c r="G157" s="611"/>
      <c r="H157" s="611"/>
      <c r="I157" s="611"/>
      <c r="J157" s="612"/>
    </row>
    <row r="158" spans="1:10" ht="12.75" customHeight="1" x14ac:dyDescent="0.2">
      <c r="A158" s="610"/>
      <c r="B158" s="611"/>
      <c r="C158" s="611"/>
      <c r="D158" s="611"/>
      <c r="E158" s="611"/>
      <c r="F158" s="611"/>
      <c r="G158" s="611"/>
      <c r="H158" s="611"/>
      <c r="I158" s="611"/>
      <c r="J158" s="612"/>
    </row>
    <row r="159" spans="1:10" ht="12.75" customHeight="1" x14ac:dyDescent="0.2">
      <c r="A159" s="610"/>
      <c r="B159" s="611"/>
      <c r="C159" s="611"/>
      <c r="D159" s="611"/>
      <c r="E159" s="611"/>
      <c r="F159" s="611"/>
      <c r="G159" s="611"/>
      <c r="H159" s="611"/>
      <c r="I159" s="611"/>
      <c r="J159" s="612"/>
    </row>
    <row r="160" spans="1:10" ht="12.75" customHeight="1" x14ac:dyDescent="0.2">
      <c r="A160" s="610"/>
      <c r="B160" s="611"/>
      <c r="C160" s="611"/>
      <c r="D160" s="611"/>
      <c r="E160" s="611"/>
      <c r="F160" s="611"/>
      <c r="G160" s="611"/>
      <c r="H160" s="611"/>
      <c r="I160" s="611"/>
      <c r="J160" s="612"/>
    </row>
    <row r="161" spans="1:10" ht="12.75" customHeight="1" x14ac:dyDescent="0.2">
      <c r="A161" s="610"/>
      <c r="B161" s="611"/>
      <c r="C161" s="611"/>
      <c r="D161" s="611"/>
      <c r="E161" s="611"/>
      <c r="F161" s="611"/>
      <c r="G161" s="611"/>
      <c r="H161" s="611"/>
      <c r="I161" s="611"/>
      <c r="J161" s="612"/>
    </row>
    <row r="162" spans="1:10" ht="12.75" customHeight="1" x14ac:dyDescent="0.2">
      <c r="A162" s="610"/>
      <c r="B162" s="611"/>
      <c r="C162" s="611"/>
      <c r="D162" s="611"/>
      <c r="E162" s="611"/>
      <c r="F162" s="611"/>
      <c r="G162" s="611"/>
      <c r="H162" s="611"/>
      <c r="I162" s="611"/>
      <c r="J162" s="612"/>
    </row>
    <row r="163" spans="1:10" ht="12.75" customHeight="1" x14ac:dyDescent="0.2">
      <c r="A163" s="610"/>
      <c r="B163" s="611"/>
      <c r="C163" s="611"/>
      <c r="D163" s="611"/>
      <c r="E163" s="611"/>
      <c r="F163" s="611"/>
      <c r="G163" s="611"/>
      <c r="H163" s="611"/>
      <c r="I163" s="611"/>
      <c r="J163" s="612"/>
    </row>
    <row r="164" spans="1:10" ht="12.75" customHeight="1" x14ac:dyDescent="0.2">
      <c r="A164" s="610"/>
      <c r="B164" s="611"/>
      <c r="C164" s="611"/>
      <c r="D164" s="611"/>
      <c r="E164" s="611"/>
      <c r="F164" s="611"/>
      <c r="G164" s="611"/>
      <c r="H164" s="611"/>
      <c r="I164" s="611"/>
      <c r="J164" s="612"/>
    </row>
    <row r="165" spans="1:10" ht="12.75" customHeight="1" x14ac:dyDescent="0.2">
      <c r="A165" s="610"/>
      <c r="B165" s="611"/>
      <c r="C165" s="611"/>
      <c r="D165" s="611"/>
      <c r="E165" s="611"/>
      <c r="F165" s="611"/>
      <c r="G165" s="611"/>
      <c r="H165" s="611"/>
      <c r="I165" s="611"/>
      <c r="J165" s="612"/>
    </row>
    <row r="166" spans="1:10" ht="12.75" customHeight="1" x14ac:dyDescent="0.2">
      <c r="A166" s="610"/>
      <c r="B166" s="611"/>
      <c r="C166" s="611"/>
      <c r="D166" s="611"/>
      <c r="E166" s="611"/>
      <c r="F166" s="611"/>
      <c r="G166" s="611"/>
      <c r="H166" s="611"/>
      <c r="I166" s="611"/>
      <c r="J166" s="612"/>
    </row>
    <row r="167" spans="1:10" ht="12.75" customHeight="1" x14ac:dyDescent="0.2">
      <c r="A167" s="610"/>
      <c r="B167" s="611"/>
      <c r="C167" s="611"/>
      <c r="D167" s="611"/>
      <c r="E167" s="611"/>
      <c r="F167" s="611"/>
      <c r="G167" s="611"/>
      <c r="H167" s="611"/>
      <c r="I167" s="611"/>
      <c r="J167" s="612"/>
    </row>
    <row r="168" spans="1:10" ht="12.75" customHeight="1" x14ac:dyDescent="0.2">
      <c r="A168" s="610"/>
      <c r="B168" s="611"/>
      <c r="C168" s="611"/>
      <c r="D168" s="611"/>
      <c r="E168" s="611"/>
      <c r="F168" s="611"/>
      <c r="G168" s="611"/>
      <c r="H168" s="611"/>
      <c r="I168" s="611"/>
      <c r="J168" s="612"/>
    </row>
    <row r="169" spans="1:10" s="61" customFormat="1" x14ac:dyDescent="0.2">
      <c r="A169" s="55"/>
      <c r="B169" s="56"/>
      <c r="C169" s="57"/>
      <c r="D169" s="58"/>
      <c r="E169" s="58"/>
      <c r="F169" s="58"/>
      <c r="G169" s="58"/>
      <c r="H169" s="59"/>
      <c r="I169" s="57"/>
      <c r="J169" s="60"/>
    </row>
    <row r="170" spans="1:10" s="61" customFormat="1" ht="25.5" customHeight="1" x14ac:dyDescent="0.2">
      <c r="A170" s="602" t="s">
        <v>124</v>
      </c>
      <c r="B170" s="603"/>
      <c r="C170" s="603"/>
      <c r="D170" s="603"/>
      <c r="E170" s="603"/>
      <c r="F170" s="603"/>
      <c r="G170" s="603"/>
      <c r="H170" s="603"/>
      <c r="I170" s="603"/>
      <c r="J170" s="604"/>
    </row>
    <row r="171" spans="1:10" s="61" customFormat="1" ht="12.75" customHeight="1" x14ac:dyDescent="0.2">
      <c r="A171" s="348" t="s">
        <v>169</v>
      </c>
      <c r="B171" s="349"/>
      <c r="C171" s="349"/>
      <c r="D171" s="349"/>
      <c r="E171" s="349"/>
      <c r="F171" s="614"/>
      <c r="G171" s="614"/>
      <c r="H171" s="614"/>
      <c r="I171" s="614"/>
      <c r="J171" s="615"/>
    </row>
    <row r="172" spans="1:10" ht="12.75" customHeight="1" x14ac:dyDescent="0.2">
      <c r="A172" s="593" t="s">
        <v>369</v>
      </c>
      <c r="B172" s="594"/>
      <c r="C172" s="594"/>
      <c r="D172" s="594"/>
      <c r="E172" s="594"/>
      <c r="F172" s="594"/>
      <c r="G172" s="594"/>
      <c r="H172" s="594"/>
      <c r="I172" s="594"/>
      <c r="J172" s="595"/>
    </row>
    <row r="173" spans="1:10" ht="12.75" customHeight="1" x14ac:dyDescent="0.2">
      <c r="A173" s="596"/>
      <c r="B173" s="597"/>
      <c r="C173" s="597"/>
      <c r="D173" s="597"/>
      <c r="E173" s="597"/>
      <c r="F173" s="597"/>
      <c r="G173" s="597"/>
      <c r="H173" s="597"/>
      <c r="I173" s="597"/>
      <c r="J173" s="598"/>
    </row>
    <row r="174" spans="1:10" ht="12.75" customHeight="1" x14ac:dyDescent="0.2">
      <c r="A174" s="596"/>
      <c r="B174" s="597"/>
      <c r="C174" s="597"/>
      <c r="D174" s="597"/>
      <c r="E174" s="597"/>
      <c r="F174" s="597"/>
      <c r="G174" s="597"/>
      <c r="H174" s="597"/>
      <c r="I174" s="597"/>
      <c r="J174" s="598"/>
    </row>
    <row r="175" spans="1:10" ht="15" customHeight="1" x14ac:dyDescent="0.2">
      <c r="A175" s="599"/>
      <c r="B175" s="600"/>
      <c r="C175" s="600"/>
      <c r="D175" s="600"/>
      <c r="E175" s="600"/>
      <c r="F175" s="600"/>
      <c r="G175" s="600"/>
      <c r="H175" s="600"/>
      <c r="I175" s="600"/>
      <c r="J175" s="601"/>
    </row>
    <row r="176" spans="1:10" ht="12.75" customHeight="1" x14ac:dyDescent="0.2">
      <c r="A176" s="610"/>
      <c r="B176" s="611"/>
      <c r="C176" s="611"/>
      <c r="D176" s="611"/>
      <c r="E176" s="611"/>
      <c r="F176" s="611"/>
      <c r="G176" s="611"/>
      <c r="H176" s="611"/>
      <c r="I176" s="611"/>
      <c r="J176" s="612"/>
    </row>
    <row r="177" spans="1:10" ht="12.75" customHeight="1" x14ac:dyDescent="0.2">
      <c r="A177" s="610"/>
      <c r="B177" s="611"/>
      <c r="C177" s="611"/>
      <c r="D177" s="611"/>
      <c r="E177" s="611"/>
      <c r="F177" s="611"/>
      <c r="G177" s="611"/>
      <c r="H177" s="611"/>
      <c r="I177" s="611"/>
      <c r="J177" s="612"/>
    </row>
    <row r="178" spans="1:10" ht="12.75" customHeight="1" x14ac:dyDescent="0.2">
      <c r="A178" s="610"/>
      <c r="B178" s="611"/>
      <c r="C178" s="611"/>
      <c r="D178" s="611"/>
      <c r="E178" s="611"/>
      <c r="F178" s="611"/>
      <c r="G178" s="611"/>
      <c r="H178" s="611"/>
      <c r="I178" s="611"/>
      <c r="J178" s="612"/>
    </row>
    <row r="179" spans="1:10" ht="12.75" customHeight="1" x14ac:dyDescent="0.2">
      <c r="A179" s="610"/>
      <c r="B179" s="611"/>
      <c r="C179" s="611"/>
      <c r="D179" s="611"/>
      <c r="E179" s="611"/>
      <c r="F179" s="611"/>
      <c r="G179" s="611"/>
      <c r="H179" s="611"/>
      <c r="I179" s="611"/>
      <c r="J179" s="612"/>
    </row>
    <row r="180" spans="1:10" ht="12.75" customHeight="1" x14ac:dyDescent="0.2">
      <c r="A180" s="610"/>
      <c r="B180" s="611"/>
      <c r="C180" s="611"/>
      <c r="D180" s="611"/>
      <c r="E180" s="611"/>
      <c r="F180" s="611"/>
      <c r="G180" s="611"/>
      <c r="H180" s="611"/>
      <c r="I180" s="611"/>
      <c r="J180" s="612"/>
    </row>
    <row r="181" spans="1:10" ht="12.75" customHeight="1" x14ac:dyDescent="0.2">
      <c r="A181" s="610"/>
      <c r="B181" s="611"/>
      <c r="C181" s="611"/>
      <c r="D181" s="611"/>
      <c r="E181" s="611"/>
      <c r="F181" s="611"/>
      <c r="G181" s="611"/>
      <c r="H181" s="611"/>
      <c r="I181" s="611"/>
      <c r="J181" s="612"/>
    </row>
    <row r="182" spans="1:10" ht="12.75" customHeight="1" x14ac:dyDescent="0.2">
      <c r="A182" s="610"/>
      <c r="B182" s="611"/>
      <c r="C182" s="611"/>
      <c r="D182" s="611"/>
      <c r="E182" s="611"/>
      <c r="F182" s="611"/>
      <c r="G182" s="611"/>
      <c r="H182" s="611"/>
      <c r="I182" s="611"/>
      <c r="J182" s="612"/>
    </row>
    <row r="183" spans="1:10" ht="12.75" customHeight="1" x14ac:dyDescent="0.2">
      <c r="A183" s="610"/>
      <c r="B183" s="611"/>
      <c r="C183" s="611"/>
      <c r="D183" s="611"/>
      <c r="E183" s="611"/>
      <c r="F183" s="611"/>
      <c r="G183" s="611"/>
      <c r="H183" s="611"/>
      <c r="I183" s="611"/>
      <c r="J183" s="612"/>
    </row>
    <row r="184" spans="1:10" ht="12.75" customHeight="1" x14ac:dyDescent="0.2">
      <c r="A184" s="610"/>
      <c r="B184" s="611"/>
      <c r="C184" s="611"/>
      <c r="D184" s="611"/>
      <c r="E184" s="611"/>
      <c r="F184" s="611"/>
      <c r="G184" s="611"/>
      <c r="H184" s="611"/>
      <c r="I184" s="611"/>
      <c r="J184" s="612"/>
    </row>
    <row r="185" spans="1:10" ht="12.75" customHeight="1" x14ac:dyDescent="0.2">
      <c r="A185" s="610"/>
      <c r="B185" s="611"/>
      <c r="C185" s="611"/>
      <c r="D185" s="611"/>
      <c r="E185" s="611"/>
      <c r="F185" s="611"/>
      <c r="G185" s="611"/>
      <c r="H185" s="611"/>
      <c r="I185" s="611"/>
      <c r="J185" s="612"/>
    </row>
    <row r="186" spans="1:10" ht="12.75" customHeight="1" x14ac:dyDescent="0.2">
      <c r="A186" s="610"/>
      <c r="B186" s="611"/>
      <c r="C186" s="611"/>
      <c r="D186" s="611"/>
      <c r="E186" s="611"/>
      <c r="F186" s="611"/>
      <c r="G186" s="611"/>
      <c r="H186" s="611"/>
      <c r="I186" s="611"/>
      <c r="J186" s="612"/>
    </row>
    <row r="187" spans="1:10" ht="12.75" customHeight="1" x14ac:dyDescent="0.2">
      <c r="A187" s="610"/>
      <c r="B187" s="611"/>
      <c r="C187" s="611"/>
      <c r="D187" s="611"/>
      <c r="E187" s="611"/>
      <c r="F187" s="611"/>
      <c r="G187" s="611"/>
      <c r="H187" s="611"/>
      <c r="I187" s="611"/>
      <c r="J187" s="612"/>
    </row>
    <row r="188" spans="1:10" ht="12.75" customHeight="1" x14ac:dyDescent="0.2">
      <c r="A188" s="610"/>
      <c r="B188" s="611"/>
      <c r="C188" s="611"/>
      <c r="D188" s="611"/>
      <c r="E188" s="611"/>
      <c r="F188" s="611"/>
      <c r="G188" s="611"/>
      <c r="H188" s="611"/>
      <c r="I188" s="611"/>
      <c r="J188" s="612"/>
    </row>
    <row r="189" spans="1:10" ht="12.75" customHeight="1" x14ac:dyDescent="0.2">
      <c r="A189" s="610"/>
      <c r="B189" s="611"/>
      <c r="C189" s="611"/>
      <c r="D189" s="611"/>
      <c r="E189" s="611"/>
      <c r="F189" s="611"/>
      <c r="G189" s="611"/>
      <c r="H189" s="611"/>
      <c r="I189" s="611"/>
      <c r="J189" s="612"/>
    </row>
    <row r="190" spans="1:10" ht="12.75" customHeight="1" x14ac:dyDescent="0.2">
      <c r="A190" s="610"/>
      <c r="B190" s="611"/>
      <c r="C190" s="611"/>
      <c r="D190" s="611"/>
      <c r="E190" s="611"/>
      <c r="F190" s="611"/>
      <c r="G190" s="611"/>
      <c r="H190" s="611"/>
      <c r="I190" s="611"/>
      <c r="J190" s="612"/>
    </row>
    <row r="191" spans="1:10" ht="12.75" customHeight="1" x14ac:dyDescent="0.2">
      <c r="A191" s="610"/>
      <c r="B191" s="611"/>
      <c r="C191" s="611"/>
      <c r="D191" s="611"/>
      <c r="E191" s="611"/>
      <c r="F191" s="611"/>
      <c r="G191" s="611"/>
      <c r="H191" s="611"/>
      <c r="I191" s="611"/>
      <c r="J191" s="612"/>
    </row>
    <row r="192" spans="1:10" ht="12.75" customHeight="1" x14ac:dyDescent="0.2">
      <c r="A192" s="610"/>
      <c r="B192" s="611"/>
      <c r="C192" s="611"/>
      <c r="D192" s="611"/>
      <c r="E192" s="611"/>
      <c r="F192" s="611"/>
      <c r="G192" s="611"/>
      <c r="H192" s="611"/>
      <c r="I192" s="611"/>
      <c r="J192" s="612"/>
    </row>
    <row r="193" spans="1:10" ht="12.75" customHeight="1" x14ac:dyDescent="0.2">
      <c r="A193" s="610"/>
      <c r="B193" s="611"/>
      <c r="C193" s="611"/>
      <c r="D193" s="611"/>
      <c r="E193" s="611"/>
      <c r="F193" s="611"/>
      <c r="G193" s="611"/>
      <c r="H193" s="611"/>
      <c r="I193" s="611"/>
      <c r="J193" s="612"/>
    </row>
    <row r="194" spans="1:10" ht="12.75" customHeight="1" x14ac:dyDescent="0.2">
      <c r="A194" s="610"/>
      <c r="B194" s="611"/>
      <c r="C194" s="611"/>
      <c r="D194" s="611"/>
      <c r="E194" s="611"/>
      <c r="F194" s="611"/>
      <c r="G194" s="611"/>
      <c r="H194" s="611"/>
      <c r="I194" s="611"/>
      <c r="J194" s="612"/>
    </row>
    <row r="195" spans="1:10" ht="12.75" customHeight="1" x14ac:dyDescent="0.2">
      <c r="A195" s="610"/>
      <c r="B195" s="611"/>
      <c r="C195" s="611"/>
      <c r="D195" s="611"/>
      <c r="E195" s="611"/>
      <c r="F195" s="611"/>
      <c r="G195" s="611"/>
      <c r="H195" s="611"/>
      <c r="I195" s="611"/>
      <c r="J195" s="612"/>
    </row>
    <row r="196" spans="1:10" ht="12.75" customHeight="1" x14ac:dyDescent="0.2">
      <c r="A196" s="610"/>
      <c r="B196" s="611"/>
      <c r="C196" s="611"/>
      <c r="D196" s="611"/>
      <c r="E196" s="611"/>
      <c r="F196" s="611"/>
      <c r="G196" s="611"/>
      <c r="H196" s="611"/>
      <c r="I196" s="611"/>
      <c r="J196" s="612"/>
    </row>
    <row r="197" spans="1:10" ht="12.75" customHeight="1" x14ac:dyDescent="0.2">
      <c r="A197" s="610"/>
      <c r="B197" s="611"/>
      <c r="C197" s="611"/>
      <c r="D197" s="611"/>
      <c r="E197" s="611"/>
      <c r="F197" s="611"/>
      <c r="G197" s="611"/>
      <c r="H197" s="611"/>
      <c r="I197" s="611"/>
      <c r="J197" s="612"/>
    </row>
    <row r="198" spans="1:10" ht="12.75" customHeight="1" x14ac:dyDescent="0.2">
      <c r="A198" s="610"/>
      <c r="B198" s="611"/>
      <c r="C198" s="611"/>
      <c r="D198" s="611"/>
      <c r="E198" s="611"/>
      <c r="F198" s="611"/>
      <c r="G198" s="611"/>
      <c r="H198" s="611"/>
      <c r="I198" s="611"/>
      <c r="J198" s="612"/>
    </row>
    <row r="199" spans="1:10" ht="12.75" customHeight="1" x14ac:dyDescent="0.2">
      <c r="A199" s="610"/>
      <c r="B199" s="611"/>
      <c r="C199" s="611"/>
      <c r="D199" s="611"/>
      <c r="E199" s="611"/>
      <c r="F199" s="611"/>
      <c r="G199" s="611"/>
      <c r="H199" s="611"/>
      <c r="I199" s="611"/>
      <c r="J199" s="612"/>
    </row>
    <row r="200" spans="1:10" ht="12.75" customHeight="1" x14ac:dyDescent="0.2">
      <c r="A200" s="610"/>
      <c r="B200" s="611"/>
      <c r="C200" s="611"/>
      <c r="D200" s="611"/>
      <c r="E200" s="611"/>
      <c r="F200" s="611"/>
      <c r="G200" s="611"/>
      <c r="H200" s="611"/>
      <c r="I200" s="611"/>
      <c r="J200" s="612"/>
    </row>
    <row r="201" spans="1:10" ht="12.75" customHeight="1" x14ac:dyDescent="0.2">
      <c r="A201" s="610"/>
      <c r="B201" s="611"/>
      <c r="C201" s="611"/>
      <c r="D201" s="611"/>
      <c r="E201" s="611"/>
      <c r="F201" s="611"/>
      <c r="G201" s="611"/>
      <c r="H201" s="611"/>
      <c r="I201" s="611"/>
      <c r="J201" s="612"/>
    </row>
    <row r="202" spans="1:10" ht="12.75" customHeight="1" x14ac:dyDescent="0.2">
      <c r="A202" s="610"/>
      <c r="B202" s="611"/>
      <c r="C202" s="611"/>
      <c r="D202" s="611"/>
      <c r="E202" s="611"/>
      <c r="F202" s="611"/>
      <c r="G202" s="611"/>
      <c r="H202" s="611"/>
      <c r="I202" s="611"/>
      <c r="J202" s="612"/>
    </row>
    <row r="203" spans="1:10" ht="12.75" customHeight="1" x14ac:dyDescent="0.2">
      <c r="A203" s="610"/>
      <c r="B203" s="611"/>
      <c r="C203" s="611"/>
      <c r="D203" s="611"/>
      <c r="E203" s="611"/>
      <c r="F203" s="611"/>
      <c r="G203" s="611"/>
      <c r="H203" s="611"/>
      <c r="I203" s="611"/>
      <c r="J203" s="612"/>
    </row>
    <row r="204" spans="1:10" ht="12.75" customHeight="1" x14ac:dyDescent="0.2">
      <c r="A204" s="610"/>
      <c r="B204" s="611"/>
      <c r="C204" s="611"/>
      <c r="D204" s="611"/>
      <c r="E204" s="611"/>
      <c r="F204" s="611"/>
      <c r="G204" s="611"/>
      <c r="H204" s="611"/>
      <c r="I204" s="611"/>
      <c r="J204" s="612"/>
    </row>
    <row r="205" spans="1:10" ht="12.75" customHeight="1" x14ac:dyDescent="0.2">
      <c r="A205" s="610"/>
      <c r="B205" s="611"/>
      <c r="C205" s="611"/>
      <c r="D205" s="611"/>
      <c r="E205" s="611"/>
      <c r="F205" s="611"/>
      <c r="G205" s="611"/>
      <c r="H205" s="611"/>
      <c r="I205" s="611"/>
      <c r="J205" s="612"/>
    </row>
    <row r="206" spans="1:10" ht="12.75" customHeight="1" x14ac:dyDescent="0.2">
      <c r="A206" s="610"/>
      <c r="B206" s="611"/>
      <c r="C206" s="611"/>
      <c r="D206" s="611"/>
      <c r="E206" s="611"/>
      <c r="F206" s="611"/>
      <c r="G206" s="611"/>
      <c r="H206" s="611"/>
      <c r="I206" s="611"/>
      <c r="J206" s="612"/>
    </row>
    <row r="207" spans="1:10" ht="12.75" customHeight="1" x14ac:dyDescent="0.2">
      <c r="A207" s="610"/>
      <c r="B207" s="611"/>
      <c r="C207" s="611"/>
      <c r="D207" s="611"/>
      <c r="E207" s="611"/>
      <c r="F207" s="611"/>
      <c r="G207" s="611"/>
      <c r="H207" s="611"/>
      <c r="I207" s="611"/>
      <c r="J207" s="612"/>
    </row>
    <row r="208" spans="1:10" ht="12.75" customHeight="1" x14ac:dyDescent="0.2">
      <c r="A208" s="610"/>
      <c r="B208" s="611"/>
      <c r="C208" s="611"/>
      <c r="D208" s="611"/>
      <c r="E208" s="611"/>
      <c r="F208" s="611"/>
      <c r="G208" s="611"/>
      <c r="H208" s="611"/>
      <c r="I208" s="611"/>
      <c r="J208" s="612"/>
    </row>
    <row r="209" spans="1:10" ht="12.75" customHeight="1" x14ac:dyDescent="0.2">
      <c r="A209" s="610"/>
      <c r="B209" s="611"/>
      <c r="C209" s="611"/>
      <c r="D209" s="611"/>
      <c r="E209" s="611"/>
      <c r="F209" s="611"/>
      <c r="G209" s="611"/>
      <c r="H209" s="611"/>
      <c r="I209" s="611"/>
      <c r="J209" s="612"/>
    </row>
    <row r="210" spans="1:10" ht="12.75" customHeight="1" x14ac:dyDescent="0.2">
      <c r="A210" s="610"/>
      <c r="B210" s="611"/>
      <c r="C210" s="611"/>
      <c r="D210" s="611"/>
      <c r="E210" s="611"/>
      <c r="F210" s="611"/>
      <c r="G210" s="611"/>
      <c r="H210" s="611"/>
      <c r="I210" s="611"/>
      <c r="J210" s="612"/>
    </row>
    <row r="211" spans="1:10" s="61" customFormat="1" x14ac:dyDescent="0.2">
      <c r="A211" s="55"/>
      <c r="B211" s="56"/>
      <c r="C211" s="57"/>
      <c r="D211" s="58"/>
      <c r="E211" s="58"/>
      <c r="F211" s="58"/>
      <c r="G211" s="58"/>
      <c r="H211" s="59"/>
      <c r="I211" s="57"/>
      <c r="J211" s="60"/>
    </row>
    <row r="212" spans="1:10" s="61" customFormat="1" ht="25.5" customHeight="1" x14ac:dyDescent="0.2">
      <c r="A212" s="602" t="s">
        <v>174</v>
      </c>
      <c r="B212" s="603"/>
      <c r="C212" s="603"/>
      <c r="D212" s="603"/>
      <c r="E212" s="603"/>
      <c r="F212" s="603"/>
      <c r="G212" s="603"/>
      <c r="H212" s="603"/>
      <c r="I212" s="603"/>
      <c r="J212" s="604"/>
    </row>
    <row r="213" spans="1:10" s="61" customFormat="1" ht="12.75" customHeight="1" x14ac:dyDescent="0.2">
      <c r="A213" s="348" t="s">
        <v>169</v>
      </c>
      <c r="B213" s="349"/>
      <c r="C213" s="349"/>
      <c r="D213" s="349"/>
      <c r="E213" s="349"/>
      <c r="F213" s="614"/>
      <c r="G213" s="614"/>
      <c r="H213" s="614"/>
      <c r="I213" s="614"/>
      <c r="J213" s="615"/>
    </row>
    <row r="214" spans="1:10" ht="12.75" customHeight="1" x14ac:dyDescent="0.2">
      <c r="A214" s="593" t="s">
        <v>369</v>
      </c>
      <c r="B214" s="594"/>
      <c r="C214" s="594"/>
      <c r="D214" s="594"/>
      <c r="E214" s="594"/>
      <c r="F214" s="594"/>
      <c r="G214" s="594"/>
      <c r="H214" s="594"/>
      <c r="I214" s="594"/>
      <c r="J214" s="595"/>
    </row>
    <row r="215" spans="1:10" ht="12.75" customHeight="1" x14ac:dyDescent="0.2">
      <c r="A215" s="596"/>
      <c r="B215" s="597"/>
      <c r="C215" s="597"/>
      <c r="D215" s="597"/>
      <c r="E215" s="597"/>
      <c r="F215" s="597"/>
      <c r="G215" s="597"/>
      <c r="H215" s="597"/>
      <c r="I215" s="597"/>
      <c r="J215" s="598"/>
    </row>
    <row r="216" spans="1:10" ht="12.75" customHeight="1" x14ac:dyDescent="0.2">
      <c r="A216" s="596"/>
      <c r="B216" s="597"/>
      <c r="C216" s="597"/>
      <c r="D216" s="597"/>
      <c r="E216" s="597"/>
      <c r="F216" s="597"/>
      <c r="G216" s="597"/>
      <c r="H216" s="597"/>
      <c r="I216" s="597"/>
      <c r="J216" s="598"/>
    </row>
    <row r="217" spans="1:10" ht="15" customHeight="1" x14ac:dyDescent="0.2">
      <c r="A217" s="599"/>
      <c r="B217" s="600"/>
      <c r="C217" s="600"/>
      <c r="D217" s="600"/>
      <c r="E217" s="600"/>
      <c r="F217" s="600"/>
      <c r="G217" s="600"/>
      <c r="H217" s="600"/>
      <c r="I217" s="600"/>
      <c r="J217" s="601"/>
    </row>
    <row r="218" spans="1:10" ht="12.75" customHeight="1" x14ac:dyDescent="0.2">
      <c r="A218" s="610"/>
      <c r="B218" s="611"/>
      <c r="C218" s="611"/>
      <c r="D218" s="611"/>
      <c r="E218" s="611"/>
      <c r="F218" s="611"/>
      <c r="G218" s="611"/>
      <c r="H218" s="611"/>
      <c r="I218" s="611"/>
      <c r="J218" s="612"/>
    </row>
    <row r="219" spans="1:10" ht="12.75" customHeight="1" x14ac:dyDescent="0.2">
      <c r="A219" s="610"/>
      <c r="B219" s="611"/>
      <c r="C219" s="611"/>
      <c r="D219" s="611"/>
      <c r="E219" s="611"/>
      <c r="F219" s="611"/>
      <c r="G219" s="611"/>
      <c r="H219" s="611"/>
      <c r="I219" s="611"/>
      <c r="J219" s="612"/>
    </row>
    <row r="220" spans="1:10" ht="12.75" customHeight="1" x14ac:dyDescent="0.2">
      <c r="A220" s="610"/>
      <c r="B220" s="611"/>
      <c r="C220" s="611"/>
      <c r="D220" s="611"/>
      <c r="E220" s="611"/>
      <c r="F220" s="611"/>
      <c r="G220" s="611"/>
      <c r="H220" s="611"/>
      <c r="I220" s="611"/>
      <c r="J220" s="612"/>
    </row>
    <row r="221" spans="1:10" ht="12.75" customHeight="1" x14ac:dyDescent="0.2">
      <c r="A221" s="610"/>
      <c r="B221" s="611"/>
      <c r="C221" s="611"/>
      <c r="D221" s="611"/>
      <c r="E221" s="611"/>
      <c r="F221" s="611"/>
      <c r="G221" s="611"/>
      <c r="H221" s="611"/>
      <c r="I221" s="611"/>
      <c r="J221" s="612"/>
    </row>
    <row r="222" spans="1:10" ht="12.75" customHeight="1" x14ac:dyDescent="0.2">
      <c r="A222" s="610"/>
      <c r="B222" s="611"/>
      <c r="C222" s="611"/>
      <c r="D222" s="611"/>
      <c r="E222" s="611"/>
      <c r="F222" s="611"/>
      <c r="G222" s="611"/>
      <c r="H222" s="611"/>
      <c r="I222" s="611"/>
      <c r="J222" s="612"/>
    </row>
    <row r="223" spans="1:10" ht="12.75" customHeight="1" x14ac:dyDescent="0.2">
      <c r="A223" s="610"/>
      <c r="B223" s="611"/>
      <c r="C223" s="611"/>
      <c r="D223" s="611"/>
      <c r="E223" s="611"/>
      <c r="F223" s="611"/>
      <c r="G223" s="611"/>
      <c r="H223" s="611"/>
      <c r="I223" s="611"/>
      <c r="J223" s="612"/>
    </row>
    <row r="224" spans="1:10" ht="12.75" customHeight="1" x14ac:dyDescent="0.2">
      <c r="A224" s="610"/>
      <c r="B224" s="611"/>
      <c r="C224" s="611"/>
      <c r="D224" s="611"/>
      <c r="E224" s="611"/>
      <c r="F224" s="611"/>
      <c r="G224" s="611"/>
      <c r="H224" s="611"/>
      <c r="I224" s="611"/>
      <c r="J224" s="612"/>
    </row>
    <row r="225" spans="1:10" ht="12.75" customHeight="1" x14ac:dyDescent="0.2">
      <c r="A225" s="610"/>
      <c r="B225" s="611"/>
      <c r="C225" s="611"/>
      <c r="D225" s="611"/>
      <c r="E225" s="611"/>
      <c r="F225" s="611"/>
      <c r="G225" s="611"/>
      <c r="H225" s="611"/>
      <c r="I225" s="611"/>
      <c r="J225" s="612"/>
    </row>
    <row r="226" spans="1:10" ht="12.75" customHeight="1" x14ac:dyDescent="0.2">
      <c r="A226" s="610"/>
      <c r="B226" s="611"/>
      <c r="C226" s="611"/>
      <c r="D226" s="611"/>
      <c r="E226" s="611"/>
      <c r="F226" s="611"/>
      <c r="G226" s="611"/>
      <c r="H226" s="611"/>
      <c r="I226" s="611"/>
      <c r="J226" s="612"/>
    </row>
    <row r="227" spans="1:10" ht="12.75" customHeight="1" x14ac:dyDescent="0.2">
      <c r="A227" s="610"/>
      <c r="B227" s="611"/>
      <c r="C227" s="611"/>
      <c r="D227" s="611"/>
      <c r="E227" s="611"/>
      <c r="F227" s="611"/>
      <c r="G227" s="611"/>
      <c r="H227" s="611"/>
      <c r="I227" s="611"/>
      <c r="J227" s="612"/>
    </row>
    <row r="228" spans="1:10" ht="12.75" customHeight="1" x14ac:dyDescent="0.2">
      <c r="A228" s="610"/>
      <c r="B228" s="611"/>
      <c r="C228" s="611"/>
      <c r="D228" s="611"/>
      <c r="E228" s="611"/>
      <c r="F228" s="611"/>
      <c r="G228" s="611"/>
      <c r="H228" s="611"/>
      <c r="I228" s="611"/>
      <c r="J228" s="612"/>
    </row>
    <row r="229" spans="1:10" ht="12.75" customHeight="1" x14ac:dyDescent="0.2">
      <c r="A229" s="610"/>
      <c r="B229" s="611"/>
      <c r="C229" s="611"/>
      <c r="D229" s="611"/>
      <c r="E229" s="611"/>
      <c r="F229" s="611"/>
      <c r="G229" s="611"/>
      <c r="H229" s="611"/>
      <c r="I229" s="611"/>
      <c r="J229" s="612"/>
    </row>
    <row r="230" spans="1:10" ht="12.75" customHeight="1" x14ac:dyDescent="0.2">
      <c r="A230" s="610"/>
      <c r="B230" s="611"/>
      <c r="C230" s="611"/>
      <c r="D230" s="611"/>
      <c r="E230" s="611"/>
      <c r="F230" s="611"/>
      <c r="G230" s="611"/>
      <c r="H230" s="611"/>
      <c r="I230" s="611"/>
      <c r="J230" s="612"/>
    </row>
    <row r="231" spans="1:10" ht="12.75" customHeight="1" x14ac:dyDescent="0.2">
      <c r="A231" s="610"/>
      <c r="B231" s="611"/>
      <c r="C231" s="611"/>
      <c r="D231" s="611"/>
      <c r="E231" s="611"/>
      <c r="F231" s="611"/>
      <c r="G231" s="611"/>
      <c r="H231" s="611"/>
      <c r="I231" s="611"/>
      <c r="J231" s="612"/>
    </row>
    <row r="232" spans="1:10" ht="12.75" customHeight="1" x14ac:dyDescent="0.2">
      <c r="A232" s="610"/>
      <c r="B232" s="611"/>
      <c r="C232" s="611"/>
      <c r="D232" s="611"/>
      <c r="E232" s="611"/>
      <c r="F232" s="611"/>
      <c r="G232" s="611"/>
      <c r="H232" s="611"/>
      <c r="I232" s="611"/>
      <c r="J232" s="612"/>
    </row>
    <row r="233" spans="1:10" ht="12.75" customHeight="1" x14ac:dyDescent="0.2">
      <c r="A233" s="610"/>
      <c r="B233" s="611"/>
      <c r="C233" s="611"/>
      <c r="D233" s="611"/>
      <c r="E233" s="611"/>
      <c r="F233" s="611"/>
      <c r="G233" s="611"/>
      <c r="H233" s="611"/>
      <c r="I233" s="611"/>
      <c r="J233" s="612"/>
    </row>
    <row r="234" spans="1:10" ht="12.75" customHeight="1" x14ac:dyDescent="0.2">
      <c r="A234" s="610"/>
      <c r="B234" s="611"/>
      <c r="C234" s="611"/>
      <c r="D234" s="611"/>
      <c r="E234" s="611"/>
      <c r="F234" s="611"/>
      <c r="G234" s="611"/>
      <c r="H234" s="611"/>
      <c r="I234" s="611"/>
      <c r="J234" s="612"/>
    </row>
    <row r="235" spans="1:10" ht="12.75" customHeight="1" x14ac:dyDescent="0.2">
      <c r="A235" s="610"/>
      <c r="B235" s="611"/>
      <c r="C235" s="611"/>
      <c r="D235" s="611"/>
      <c r="E235" s="611"/>
      <c r="F235" s="611"/>
      <c r="G235" s="611"/>
      <c r="H235" s="611"/>
      <c r="I235" s="611"/>
      <c r="J235" s="612"/>
    </row>
    <row r="236" spans="1:10" ht="12.75" customHeight="1" x14ac:dyDescent="0.2">
      <c r="A236" s="610"/>
      <c r="B236" s="611"/>
      <c r="C236" s="611"/>
      <c r="D236" s="611"/>
      <c r="E236" s="611"/>
      <c r="F236" s="611"/>
      <c r="G236" s="611"/>
      <c r="H236" s="611"/>
      <c r="I236" s="611"/>
      <c r="J236" s="612"/>
    </row>
    <row r="237" spans="1:10" ht="12.75" customHeight="1" x14ac:dyDescent="0.2">
      <c r="A237" s="610"/>
      <c r="B237" s="611"/>
      <c r="C237" s="611"/>
      <c r="D237" s="611"/>
      <c r="E237" s="611"/>
      <c r="F237" s="611"/>
      <c r="G237" s="611"/>
      <c r="H237" s="611"/>
      <c r="I237" s="611"/>
      <c r="J237" s="612"/>
    </row>
    <row r="238" spans="1:10" ht="12.75" customHeight="1" x14ac:dyDescent="0.2">
      <c r="A238" s="610"/>
      <c r="B238" s="611"/>
      <c r="C238" s="611"/>
      <c r="D238" s="611"/>
      <c r="E238" s="611"/>
      <c r="F238" s="611"/>
      <c r="G238" s="611"/>
      <c r="H238" s="611"/>
      <c r="I238" s="611"/>
      <c r="J238" s="612"/>
    </row>
    <row r="239" spans="1:10" ht="12.75" customHeight="1" x14ac:dyDescent="0.2">
      <c r="A239" s="610"/>
      <c r="B239" s="611"/>
      <c r="C239" s="611"/>
      <c r="D239" s="611"/>
      <c r="E239" s="611"/>
      <c r="F239" s="611"/>
      <c r="G239" s="611"/>
      <c r="H239" s="611"/>
      <c r="I239" s="611"/>
      <c r="J239" s="612"/>
    </row>
    <row r="240" spans="1:10" ht="12.75" customHeight="1" x14ac:dyDescent="0.2">
      <c r="A240" s="610"/>
      <c r="B240" s="611"/>
      <c r="C240" s="611"/>
      <c r="D240" s="611"/>
      <c r="E240" s="611"/>
      <c r="F240" s="611"/>
      <c r="G240" s="611"/>
      <c r="H240" s="611"/>
      <c r="I240" s="611"/>
      <c r="J240" s="612"/>
    </row>
    <row r="241" spans="1:10" ht="12.75" customHeight="1" x14ac:dyDescent="0.2">
      <c r="A241" s="610"/>
      <c r="B241" s="611"/>
      <c r="C241" s="611"/>
      <c r="D241" s="611"/>
      <c r="E241" s="611"/>
      <c r="F241" s="611"/>
      <c r="G241" s="611"/>
      <c r="H241" s="611"/>
      <c r="I241" s="611"/>
      <c r="J241" s="612"/>
    </row>
    <row r="242" spans="1:10" ht="12.75" customHeight="1" x14ac:dyDescent="0.2">
      <c r="A242" s="610"/>
      <c r="B242" s="611"/>
      <c r="C242" s="611"/>
      <c r="D242" s="611"/>
      <c r="E242" s="611"/>
      <c r="F242" s="611"/>
      <c r="G242" s="611"/>
      <c r="H242" s="611"/>
      <c r="I242" s="611"/>
      <c r="J242" s="612"/>
    </row>
    <row r="243" spans="1:10" ht="12.75" customHeight="1" x14ac:dyDescent="0.2">
      <c r="A243" s="610"/>
      <c r="B243" s="611"/>
      <c r="C243" s="611"/>
      <c r="D243" s="611"/>
      <c r="E243" s="611"/>
      <c r="F243" s="611"/>
      <c r="G243" s="611"/>
      <c r="H243" s="611"/>
      <c r="I243" s="611"/>
      <c r="J243" s="612"/>
    </row>
    <row r="244" spans="1:10" ht="12.75" customHeight="1" x14ac:dyDescent="0.2">
      <c r="A244" s="610"/>
      <c r="B244" s="611"/>
      <c r="C244" s="611"/>
      <c r="D244" s="611"/>
      <c r="E244" s="611"/>
      <c r="F244" s="611"/>
      <c r="G244" s="611"/>
      <c r="H244" s="611"/>
      <c r="I244" s="611"/>
      <c r="J244" s="612"/>
    </row>
    <row r="245" spans="1:10" ht="12.75" customHeight="1" x14ac:dyDescent="0.2">
      <c r="A245" s="610"/>
      <c r="B245" s="611"/>
      <c r="C245" s="611"/>
      <c r="D245" s="611"/>
      <c r="E245" s="611"/>
      <c r="F245" s="611"/>
      <c r="G245" s="611"/>
      <c r="H245" s="611"/>
      <c r="I245" s="611"/>
      <c r="J245" s="612"/>
    </row>
    <row r="246" spans="1:10" ht="12.75" customHeight="1" x14ac:dyDescent="0.2">
      <c r="A246" s="610"/>
      <c r="B246" s="611"/>
      <c r="C246" s="611"/>
      <c r="D246" s="611"/>
      <c r="E246" s="611"/>
      <c r="F246" s="611"/>
      <c r="G246" s="611"/>
      <c r="H246" s="611"/>
      <c r="I246" s="611"/>
      <c r="J246" s="612"/>
    </row>
    <row r="247" spans="1:10" ht="12.75" customHeight="1" x14ac:dyDescent="0.2">
      <c r="A247" s="610"/>
      <c r="B247" s="611"/>
      <c r="C247" s="611"/>
      <c r="D247" s="611"/>
      <c r="E247" s="611"/>
      <c r="F247" s="611"/>
      <c r="G247" s="611"/>
      <c r="H247" s="611"/>
      <c r="I247" s="611"/>
      <c r="J247" s="612"/>
    </row>
    <row r="248" spans="1:10" ht="12.75" customHeight="1" x14ac:dyDescent="0.2">
      <c r="A248" s="610"/>
      <c r="B248" s="611"/>
      <c r="C248" s="611"/>
      <c r="D248" s="611"/>
      <c r="E248" s="611"/>
      <c r="F248" s="611"/>
      <c r="G248" s="611"/>
      <c r="H248" s="611"/>
      <c r="I248" s="611"/>
      <c r="J248" s="612"/>
    </row>
    <row r="249" spans="1:10" ht="12.75" customHeight="1" x14ac:dyDescent="0.2">
      <c r="A249" s="610"/>
      <c r="B249" s="611"/>
      <c r="C249" s="611"/>
      <c r="D249" s="611"/>
      <c r="E249" s="611"/>
      <c r="F249" s="611"/>
      <c r="G249" s="611"/>
      <c r="H249" s="611"/>
      <c r="I249" s="611"/>
      <c r="J249" s="612"/>
    </row>
    <row r="250" spans="1:10" ht="12.75" customHeight="1" x14ac:dyDescent="0.2">
      <c r="A250" s="610"/>
      <c r="B250" s="611"/>
      <c r="C250" s="611"/>
      <c r="D250" s="611"/>
      <c r="E250" s="611"/>
      <c r="F250" s="611"/>
      <c r="G250" s="611"/>
      <c r="H250" s="611"/>
      <c r="I250" s="611"/>
      <c r="J250" s="612"/>
    </row>
    <row r="251" spans="1:10" ht="12.75" customHeight="1" x14ac:dyDescent="0.2">
      <c r="A251" s="610"/>
      <c r="B251" s="611"/>
      <c r="C251" s="611"/>
      <c r="D251" s="611"/>
      <c r="E251" s="611"/>
      <c r="F251" s="611"/>
      <c r="G251" s="611"/>
      <c r="H251" s="611"/>
      <c r="I251" s="611"/>
      <c r="J251" s="612"/>
    </row>
    <row r="252" spans="1:10" ht="12.75" customHeight="1" x14ac:dyDescent="0.2">
      <c r="A252" s="610"/>
      <c r="B252" s="611"/>
      <c r="C252" s="611"/>
      <c r="D252" s="611"/>
      <c r="E252" s="611"/>
      <c r="F252" s="611"/>
      <c r="G252" s="611"/>
      <c r="H252" s="611"/>
      <c r="I252" s="611"/>
      <c r="J252" s="612"/>
    </row>
    <row r="253" spans="1:10" s="61" customFormat="1" x14ac:dyDescent="0.2">
      <c r="A253" s="55"/>
      <c r="B253" s="56"/>
      <c r="C253" s="57"/>
      <c r="D253" s="58"/>
      <c r="E253" s="58"/>
      <c r="F253" s="58"/>
      <c r="G253" s="58"/>
      <c r="H253" s="59"/>
      <c r="I253" s="57"/>
      <c r="J253" s="60"/>
    </row>
    <row r="254" spans="1:10" s="61" customFormat="1" ht="25.5" customHeight="1" x14ac:dyDescent="0.2">
      <c r="A254" s="602" t="s">
        <v>175</v>
      </c>
      <c r="B254" s="603"/>
      <c r="C254" s="603"/>
      <c r="D254" s="603"/>
      <c r="E254" s="603"/>
      <c r="F254" s="603"/>
      <c r="G254" s="603"/>
      <c r="H254" s="603"/>
      <c r="I254" s="603"/>
      <c r="J254" s="604"/>
    </row>
    <row r="255" spans="1:10" s="61" customFormat="1" ht="12.75" customHeight="1" x14ac:dyDescent="0.2">
      <c r="A255" s="348" t="s">
        <v>169</v>
      </c>
      <c r="B255" s="349"/>
      <c r="C255" s="349"/>
      <c r="D255" s="349"/>
      <c r="E255" s="349"/>
      <c r="F255" s="614"/>
      <c r="G255" s="614"/>
      <c r="H255" s="614"/>
      <c r="I255" s="614"/>
      <c r="J255" s="615"/>
    </row>
    <row r="256" spans="1:10" ht="12.75" customHeight="1" x14ac:dyDescent="0.2">
      <c r="A256" s="593" t="s">
        <v>369</v>
      </c>
      <c r="B256" s="594"/>
      <c r="C256" s="594"/>
      <c r="D256" s="594"/>
      <c r="E256" s="594"/>
      <c r="F256" s="594"/>
      <c r="G256" s="594"/>
      <c r="H256" s="594"/>
      <c r="I256" s="594"/>
      <c r="J256" s="595"/>
    </row>
    <row r="257" spans="1:10" ht="12.75" customHeight="1" x14ac:dyDescent="0.2">
      <c r="A257" s="596"/>
      <c r="B257" s="597"/>
      <c r="C257" s="597"/>
      <c r="D257" s="597"/>
      <c r="E257" s="597"/>
      <c r="F257" s="597"/>
      <c r="G257" s="597"/>
      <c r="H257" s="597"/>
      <c r="I257" s="597"/>
      <c r="J257" s="598"/>
    </row>
    <row r="258" spans="1:10" ht="12.75" customHeight="1" x14ac:dyDescent="0.2">
      <c r="A258" s="596"/>
      <c r="B258" s="597"/>
      <c r="C258" s="597"/>
      <c r="D258" s="597"/>
      <c r="E258" s="597"/>
      <c r="F258" s="597"/>
      <c r="G258" s="597"/>
      <c r="H258" s="597"/>
      <c r="I258" s="597"/>
      <c r="J258" s="598"/>
    </row>
    <row r="259" spans="1:10" ht="15" customHeight="1" x14ac:dyDescent="0.2">
      <c r="A259" s="599"/>
      <c r="B259" s="600"/>
      <c r="C259" s="600"/>
      <c r="D259" s="600"/>
      <c r="E259" s="600"/>
      <c r="F259" s="600"/>
      <c r="G259" s="600"/>
      <c r="H259" s="600"/>
      <c r="I259" s="600"/>
      <c r="J259" s="601"/>
    </row>
    <row r="260" spans="1:10" ht="12.75" customHeight="1" x14ac:dyDescent="0.2">
      <c r="A260" s="610"/>
      <c r="B260" s="611"/>
      <c r="C260" s="611"/>
      <c r="D260" s="611"/>
      <c r="E260" s="611"/>
      <c r="F260" s="611"/>
      <c r="G260" s="611"/>
      <c r="H260" s="611"/>
      <c r="I260" s="611"/>
      <c r="J260" s="612"/>
    </row>
    <row r="261" spans="1:10" ht="12.75" customHeight="1" x14ac:dyDescent="0.2">
      <c r="A261" s="610"/>
      <c r="B261" s="611"/>
      <c r="C261" s="611"/>
      <c r="D261" s="611"/>
      <c r="E261" s="611"/>
      <c r="F261" s="611"/>
      <c r="G261" s="611"/>
      <c r="H261" s="611"/>
      <c r="I261" s="611"/>
      <c r="J261" s="612"/>
    </row>
    <row r="262" spans="1:10" ht="12.75" customHeight="1" x14ac:dyDescent="0.2">
      <c r="A262" s="610"/>
      <c r="B262" s="611"/>
      <c r="C262" s="611"/>
      <c r="D262" s="611"/>
      <c r="E262" s="611"/>
      <c r="F262" s="611"/>
      <c r="G262" s="611"/>
      <c r="H262" s="611"/>
      <c r="I262" s="611"/>
      <c r="J262" s="612"/>
    </row>
    <row r="263" spans="1:10" ht="12.75" customHeight="1" x14ac:dyDescent="0.2">
      <c r="A263" s="610"/>
      <c r="B263" s="611"/>
      <c r="C263" s="611"/>
      <c r="D263" s="611"/>
      <c r="E263" s="611"/>
      <c r="F263" s="611"/>
      <c r="G263" s="611"/>
      <c r="H263" s="611"/>
      <c r="I263" s="611"/>
      <c r="J263" s="612"/>
    </row>
    <row r="264" spans="1:10" ht="12.75" customHeight="1" x14ac:dyDescent="0.2">
      <c r="A264" s="610"/>
      <c r="B264" s="611"/>
      <c r="C264" s="611"/>
      <c r="D264" s="611"/>
      <c r="E264" s="611"/>
      <c r="F264" s="611"/>
      <c r="G264" s="611"/>
      <c r="H264" s="611"/>
      <c r="I264" s="611"/>
      <c r="J264" s="612"/>
    </row>
    <row r="265" spans="1:10" ht="12.75" customHeight="1" x14ac:dyDescent="0.2">
      <c r="A265" s="610"/>
      <c r="B265" s="611"/>
      <c r="C265" s="611"/>
      <c r="D265" s="611"/>
      <c r="E265" s="611"/>
      <c r="F265" s="611"/>
      <c r="G265" s="611"/>
      <c r="H265" s="611"/>
      <c r="I265" s="611"/>
      <c r="J265" s="612"/>
    </row>
    <row r="266" spans="1:10" ht="12.75" customHeight="1" x14ac:dyDescent="0.2">
      <c r="A266" s="610"/>
      <c r="B266" s="611"/>
      <c r="C266" s="611"/>
      <c r="D266" s="611"/>
      <c r="E266" s="611"/>
      <c r="F266" s="611"/>
      <c r="G266" s="611"/>
      <c r="H266" s="611"/>
      <c r="I266" s="611"/>
      <c r="J266" s="612"/>
    </row>
    <row r="267" spans="1:10" ht="12.75" customHeight="1" x14ac:dyDescent="0.2">
      <c r="A267" s="610"/>
      <c r="B267" s="611"/>
      <c r="C267" s="611"/>
      <c r="D267" s="611"/>
      <c r="E267" s="611"/>
      <c r="F267" s="611"/>
      <c r="G267" s="611"/>
      <c r="H267" s="611"/>
      <c r="I267" s="611"/>
      <c r="J267" s="612"/>
    </row>
    <row r="268" spans="1:10" ht="12.75" customHeight="1" x14ac:dyDescent="0.2">
      <c r="A268" s="610"/>
      <c r="B268" s="611"/>
      <c r="C268" s="611"/>
      <c r="D268" s="611"/>
      <c r="E268" s="611"/>
      <c r="F268" s="611"/>
      <c r="G268" s="611"/>
      <c r="H268" s="611"/>
      <c r="I268" s="611"/>
      <c r="J268" s="612"/>
    </row>
    <row r="269" spans="1:10" ht="12.75" customHeight="1" x14ac:dyDescent="0.2">
      <c r="A269" s="610"/>
      <c r="B269" s="611"/>
      <c r="C269" s="611"/>
      <c r="D269" s="611"/>
      <c r="E269" s="611"/>
      <c r="F269" s="611"/>
      <c r="G269" s="611"/>
      <c r="H269" s="611"/>
      <c r="I269" s="611"/>
      <c r="J269" s="612"/>
    </row>
    <row r="270" spans="1:10" ht="12.75" customHeight="1" x14ac:dyDescent="0.2">
      <c r="A270" s="610"/>
      <c r="B270" s="611"/>
      <c r="C270" s="611"/>
      <c r="D270" s="611"/>
      <c r="E270" s="611"/>
      <c r="F270" s="611"/>
      <c r="G270" s="611"/>
      <c r="H270" s="611"/>
      <c r="I270" s="611"/>
      <c r="J270" s="612"/>
    </row>
    <row r="271" spans="1:10" ht="12.75" customHeight="1" x14ac:dyDescent="0.2">
      <c r="A271" s="610"/>
      <c r="B271" s="611"/>
      <c r="C271" s="611"/>
      <c r="D271" s="611"/>
      <c r="E271" s="611"/>
      <c r="F271" s="611"/>
      <c r="G271" s="611"/>
      <c r="H271" s="611"/>
      <c r="I271" s="611"/>
      <c r="J271" s="612"/>
    </row>
    <row r="272" spans="1:10" ht="12.75" customHeight="1" x14ac:dyDescent="0.2">
      <c r="A272" s="610"/>
      <c r="B272" s="611"/>
      <c r="C272" s="611"/>
      <c r="D272" s="611"/>
      <c r="E272" s="611"/>
      <c r="F272" s="611"/>
      <c r="G272" s="611"/>
      <c r="H272" s="611"/>
      <c r="I272" s="611"/>
      <c r="J272" s="612"/>
    </row>
    <row r="273" spans="1:10" ht="12.75" customHeight="1" x14ac:dyDescent="0.2">
      <c r="A273" s="610"/>
      <c r="B273" s="611"/>
      <c r="C273" s="611"/>
      <c r="D273" s="611"/>
      <c r="E273" s="611"/>
      <c r="F273" s="611"/>
      <c r="G273" s="611"/>
      <c r="H273" s="611"/>
      <c r="I273" s="611"/>
      <c r="J273" s="612"/>
    </row>
    <row r="274" spans="1:10" ht="12.75" customHeight="1" x14ac:dyDescent="0.2">
      <c r="A274" s="610"/>
      <c r="B274" s="611"/>
      <c r="C274" s="611"/>
      <c r="D274" s="611"/>
      <c r="E274" s="611"/>
      <c r="F274" s="611"/>
      <c r="G274" s="611"/>
      <c r="H274" s="611"/>
      <c r="I274" s="611"/>
      <c r="J274" s="612"/>
    </row>
    <row r="275" spans="1:10" ht="12.75" customHeight="1" x14ac:dyDescent="0.2">
      <c r="A275" s="610"/>
      <c r="B275" s="611"/>
      <c r="C275" s="611"/>
      <c r="D275" s="611"/>
      <c r="E275" s="611"/>
      <c r="F275" s="611"/>
      <c r="G275" s="611"/>
      <c r="H275" s="611"/>
      <c r="I275" s="611"/>
      <c r="J275" s="612"/>
    </row>
    <row r="276" spans="1:10" ht="12.75" customHeight="1" x14ac:dyDescent="0.2">
      <c r="A276" s="610"/>
      <c r="B276" s="611"/>
      <c r="C276" s="611"/>
      <c r="D276" s="611"/>
      <c r="E276" s="611"/>
      <c r="F276" s="611"/>
      <c r="G276" s="611"/>
      <c r="H276" s="611"/>
      <c r="I276" s="611"/>
      <c r="J276" s="612"/>
    </row>
    <row r="277" spans="1:10" ht="12.75" customHeight="1" x14ac:dyDescent="0.2">
      <c r="A277" s="610"/>
      <c r="B277" s="611"/>
      <c r="C277" s="611"/>
      <c r="D277" s="611"/>
      <c r="E277" s="611"/>
      <c r="F277" s="611"/>
      <c r="G277" s="611"/>
      <c r="H277" s="611"/>
      <c r="I277" s="611"/>
      <c r="J277" s="612"/>
    </row>
    <row r="278" spans="1:10" ht="12.75" customHeight="1" x14ac:dyDescent="0.2">
      <c r="A278" s="610"/>
      <c r="B278" s="611"/>
      <c r="C278" s="611"/>
      <c r="D278" s="611"/>
      <c r="E278" s="611"/>
      <c r="F278" s="611"/>
      <c r="G278" s="611"/>
      <c r="H278" s="611"/>
      <c r="I278" s="611"/>
      <c r="J278" s="612"/>
    </row>
    <row r="279" spans="1:10" ht="12.75" customHeight="1" x14ac:dyDescent="0.2">
      <c r="A279" s="610"/>
      <c r="B279" s="611"/>
      <c r="C279" s="611"/>
      <c r="D279" s="611"/>
      <c r="E279" s="611"/>
      <c r="F279" s="611"/>
      <c r="G279" s="611"/>
      <c r="H279" s="611"/>
      <c r="I279" s="611"/>
      <c r="J279" s="612"/>
    </row>
    <row r="280" spans="1:10" ht="12.75" customHeight="1" x14ac:dyDescent="0.2">
      <c r="A280" s="610"/>
      <c r="B280" s="611"/>
      <c r="C280" s="611"/>
      <c r="D280" s="611"/>
      <c r="E280" s="611"/>
      <c r="F280" s="611"/>
      <c r="G280" s="611"/>
      <c r="H280" s="611"/>
      <c r="I280" s="611"/>
      <c r="J280" s="612"/>
    </row>
    <row r="281" spans="1:10" ht="12.75" customHeight="1" x14ac:dyDescent="0.2">
      <c r="A281" s="610"/>
      <c r="B281" s="611"/>
      <c r="C281" s="611"/>
      <c r="D281" s="611"/>
      <c r="E281" s="611"/>
      <c r="F281" s="611"/>
      <c r="G281" s="611"/>
      <c r="H281" s="611"/>
      <c r="I281" s="611"/>
      <c r="J281" s="612"/>
    </row>
    <row r="282" spans="1:10" ht="12.75" customHeight="1" x14ac:dyDescent="0.2">
      <c r="A282" s="610"/>
      <c r="B282" s="611"/>
      <c r="C282" s="611"/>
      <c r="D282" s="611"/>
      <c r="E282" s="611"/>
      <c r="F282" s="611"/>
      <c r="G282" s="611"/>
      <c r="H282" s="611"/>
      <c r="I282" s="611"/>
      <c r="J282" s="612"/>
    </row>
    <row r="283" spans="1:10" ht="12.75" customHeight="1" x14ac:dyDescent="0.2">
      <c r="A283" s="610"/>
      <c r="B283" s="611"/>
      <c r="C283" s="611"/>
      <c r="D283" s="611"/>
      <c r="E283" s="611"/>
      <c r="F283" s="611"/>
      <c r="G283" s="611"/>
      <c r="H283" s="611"/>
      <c r="I283" s="611"/>
      <c r="J283" s="612"/>
    </row>
    <row r="284" spans="1:10" ht="12.75" customHeight="1" x14ac:dyDescent="0.2">
      <c r="A284" s="610"/>
      <c r="B284" s="611"/>
      <c r="C284" s="611"/>
      <c r="D284" s="611"/>
      <c r="E284" s="611"/>
      <c r="F284" s="611"/>
      <c r="G284" s="611"/>
      <c r="H284" s="611"/>
      <c r="I284" s="611"/>
      <c r="J284" s="612"/>
    </row>
    <row r="285" spans="1:10" ht="12.75" customHeight="1" x14ac:dyDescent="0.2">
      <c r="A285" s="610"/>
      <c r="B285" s="611"/>
      <c r="C285" s="611"/>
      <c r="D285" s="611"/>
      <c r="E285" s="611"/>
      <c r="F285" s="611"/>
      <c r="G285" s="611"/>
      <c r="H285" s="611"/>
      <c r="I285" s="611"/>
      <c r="J285" s="612"/>
    </row>
    <row r="286" spans="1:10" ht="12.75" customHeight="1" x14ac:dyDescent="0.2">
      <c r="A286" s="610"/>
      <c r="B286" s="611"/>
      <c r="C286" s="611"/>
      <c r="D286" s="611"/>
      <c r="E286" s="611"/>
      <c r="F286" s="611"/>
      <c r="G286" s="611"/>
      <c r="H286" s="611"/>
      <c r="I286" s="611"/>
      <c r="J286" s="612"/>
    </row>
    <row r="287" spans="1:10" ht="12.75" customHeight="1" x14ac:dyDescent="0.2">
      <c r="A287" s="610"/>
      <c r="B287" s="611"/>
      <c r="C287" s="611"/>
      <c r="D287" s="611"/>
      <c r="E287" s="611"/>
      <c r="F287" s="611"/>
      <c r="G287" s="611"/>
      <c r="H287" s="611"/>
      <c r="I287" s="611"/>
      <c r="J287" s="612"/>
    </row>
    <row r="288" spans="1:10" ht="12.75" customHeight="1" x14ac:dyDescent="0.2">
      <c r="A288" s="610"/>
      <c r="B288" s="611"/>
      <c r="C288" s="611"/>
      <c r="D288" s="611"/>
      <c r="E288" s="611"/>
      <c r="F288" s="611"/>
      <c r="G288" s="611"/>
      <c r="H288" s="611"/>
      <c r="I288" s="611"/>
      <c r="J288" s="612"/>
    </row>
    <row r="289" spans="1:10" ht="12.75" customHeight="1" x14ac:dyDescent="0.2">
      <c r="A289" s="610"/>
      <c r="B289" s="611"/>
      <c r="C289" s="611"/>
      <c r="D289" s="611"/>
      <c r="E289" s="611"/>
      <c r="F289" s="611"/>
      <c r="G289" s="611"/>
      <c r="H289" s="611"/>
      <c r="I289" s="611"/>
      <c r="J289" s="612"/>
    </row>
    <row r="290" spans="1:10" ht="12.75" customHeight="1" x14ac:dyDescent="0.2">
      <c r="A290" s="610"/>
      <c r="B290" s="611"/>
      <c r="C290" s="611"/>
      <c r="D290" s="611"/>
      <c r="E290" s="611"/>
      <c r="F290" s="611"/>
      <c r="G290" s="611"/>
      <c r="H290" s="611"/>
      <c r="I290" s="611"/>
      <c r="J290" s="612"/>
    </row>
    <row r="291" spans="1:10" ht="12.75" customHeight="1" x14ac:dyDescent="0.2">
      <c r="A291" s="610"/>
      <c r="B291" s="611"/>
      <c r="C291" s="611"/>
      <c r="D291" s="611"/>
      <c r="E291" s="611"/>
      <c r="F291" s="611"/>
      <c r="G291" s="611"/>
      <c r="H291" s="611"/>
      <c r="I291" s="611"/>
      <c r="J291" s="612"/>
    </row>
    <row r="292" spans="1:10" ht="12.75" customHeight="1" x14ac:dyDescent="0.2">
      <c r="A292" s="610"/>
      <c r="B292" s="611"/>
      <c r="C292" s="611"/>
      <c r="D292" s="611"/>
      <c r="E292" s="611"/>
      <c r="F292" s="611"/>
      <c r="G292" s="611"/>
      <c r="H292" s="611"/>
      <c r="I292" s="611"/>
      <c r="J292" s="612"/>
    </row>
    <row r="293" spans="1:10" ht="12.75" customHeight="1" x14ac:dyDescent="0.2">
      <c r="A293" s="610"/>
      <c r="B293" s="611"/>
      <c r="C293" s="611"/>
      <c r="D293" s="611"/>
      <c r="E293" s="611"/>
      <c r="F293" s="611"/>
      <c r="G293" s="611"/>
      <c r="H293" s="611"/>
      <c r="I293" s="611"/>
      <c r="J293" s="612"/>
    </row>
    <row r="294" spans="1:10" ht="12.75" customHeight="1" x14ac:dyDescent="0.2">
      <c r="A294" s="610"/>
      <c r="B294" s="611"/>
      <c r="C294" s="611"/>
      <c r="D294" s="611"/>
      <c r="E294" s="611"/>
      <c r="F294" s="611"/>
      <c r="G294" s="611"/>
      <c r="H294" s="611"/>
      <c r="I294" s="611"/>
      <c r="J294" s="612"/>
    </row>
    <row r="295" spans="1:10" s="61" customFormat="1" x14ac:dyDescent="0.2">
      <c r="A295" s="55"/>
      <c r="B295" s="56"/>
      <c r="C295" s="57"/>
      <c r="D295" s="58"/>
      <c r="E295" s="58"/>
      <c r="F295" s="58"/>
      <c r="G295" s="58"/>
      <c r="H295" s="59"/>
      <c r="I295" s="57"/>
      <c r="J295" s="60"/>
    </row>
    <row r="296" spans="1:10" s="61" customFormat="1" ht="25.5" customHeight="1" x14ac:dyDescent="0.2">
      <c r="A296" s="602" t="s">
        <v>121</v>
      </c>
      <c r="B296" s="603"/>
      <c r="C296" s="603"/>
      <c r="D296" s="603"/>
      <c r="E296" s="603"/>
      <c r="F296" s="603"/>
      <c r="G296" s="603"/>
      <c r="H296" s="603"/>
      <c r="I296" s="603"/>
      <c r="J296" s="604"/>
    </row>
    <row r="297" spans="1:10" s="61" customFormat="1" ht="12.75" customHeight="1" x14ac:dyDescent="0.2">
      <c r="A297" s="348" t="s">
        <v>169</v>
      </c>
      <c r="B297" s="349"/>
      <c r="C297" s="349"/>
      <c r="D297" s="349"/>
      <c r="E297" s="349"/>
      <c r="F297" s="614"/>
      <c r="G297" s="614"/>
      <c r="H297" s="614"/>
      <c r="I297" s="614"/>
      <c r="J297" s="615"/>
    </row>
    <row r="298" spans="1:10" ht="12.75" customHeight="1" x14ac:dyDescent="0.2">
      <c r="A298" s="593" t="s">
        <v>369</v>
      </c>
      <c r="B298" s="594"/>
      <c r="C298" s="594"/>
      <c r="D298" s="594"/>
      <c r="E298" s="594"/>
      <c r="F298" s="594"/>
      <c r="G298" s="594"/>
      <c r="H298" s="594"/>
      <c r="I298" s="594"/>
      <c r="J298" s="595"/>
    </row>
    <row r="299" spans="1:10" ht="12.75" customHeight="1" x14ac:dyDescent="0.2">
      <c r="A299" s="596"/>
      <c r="B299" s="597"/>
      <c r="C299" s="597"/>
      <c r="D299" s="597"/>
      <c r="E299" s="597"/>
      <c r="F299" s="597"/>
      <c r="G299" s="597"/>
      <c r="H299" s="597"/>
      <c r="I299" s="597"/>
      <c r="J299" s="598"/>
    </row>
    <row r="300" spans="1:10" ht="12.75" customHeight="1" x14ac:dyDescent="0.2">
      <c r="A300" s="596"/>
      <c r="B300" s="597"/>
      <c r="C300" s="597"/>
      <c r="D300" s="597"/>
      <c r="E300" s="597"/>
      <c r="F300" s="597"/>
      <c r="G300" s="597"/>
      <c r="H300" s="597"/>
      <c r="I300" s="597"/>
      <c r="J300" s="598"/>
    </row>
    <row r="301" spans="1:10" ht="15" customHeight="1" x14ac:dyDescent="0.2">
      <c r="A301" s="599"/>
      <c r="B301" s="600"/>
      <c r="C301" s="600"/>
      <c r="D301" s="600"/>
      <c r="E301" s="600"/>
      <c r="F301" s="600"/>
      <c r="G301" s="600"/>
      <c r="H301" s="600"/>
      <c r="I301" s="600"/>
      <c r="J301" s="601"/>
    </row>
    <row r="302" spans="1:10" ht="12.75" customHeight="1" x14ac:dyDescent="0.2">
      <c r="A302" s="610"/>
      <c r="B302" s="611"/>
      <c r="C302" s="611"/>
      <c r="D302" s="611"/>
      <c r="E302" s="611"/>
      <c r="F302" s="611"/>
      <c r="G302" s="611"/>
      <c r="H302" s="611"/>
      <c r="I302" s="611"/>
      <c r="J302" s="612"/>
    </row>
    <row r="303" spans="1:10" ht="12.75" customHeight="1" x14ac:dyDescent="0.2">
      <c r="A303" s="610"/>
      <c r="B303" s="611"/>
      <c r="C303" s="611"/>
      <c r="D303" s="611"/>
      <c r="E303" s="611"/>
      <c r="F303" s="611"/>
      <c r="G303" s="611"/>
      <c r="H303" s="611"/>
      <c r="I303" s="611"/>
      <c r="J303" s="612"/>
    </row>
    <row r="304" spans="1:10" ht="12.75" customHeight="1" x14ac:dyDescent="0.2">
      <c r="A304" s="610"/>
      <c r="B304" s="611"/>
      <c r="C304" s="611"/>
      <c r="D304" s="611"/>
      <c r="E304" s="611"/>
      <c r="F304" s="611"/>
      <c r="G304" s="611"/>
      <c r="H304" s="611"/>
      <c r="I304" s="611"/>
      <c r="J304" s="612"/>
    </row>
    <row r="305" spans="1:10" ht="12.75" customHeight="1" x14ac:dyDescent="0.2">
      <c r="A305" s="610"/>
      <c r="B305" s="611"/>
      <c r="C305" s="611"/>
      <c r="D305" s="611"/>
      <c r="E305" s="611"/>
      <c r="F305" s="611"/>
      <c r="G305" s="611"/>
      <c r="H305" s="611"/>
      <c r="I305" s="611"/>
      <c r="J305" s="612"/>
    </row>
    <row r="306" spans="1:10" ht="12.75" customHeight="1" x14ac:dyDescent="0.2">
      <c r="A306" s="610"/>
      <c r="B306" s="611"/>
      <c r="C306" s="611"/>
      <c r="D306" s="611"/>
      <c r="E306" s="611"/>
      <c r="F306" s="611"/>
      <c r="G306" s="611"/>
      <c r="H306" s="611"/>
      <c r="I306" s="611"/>
      <c r="J306" s="612"/>
    </row>
    <row r="307" spans="1:10" ht="12.75" customHeight="1" x14ac:dyDescent="0.2">
      <c r="A307" s="610"/>
      <c r="B307" s="611"/>
      <c r="C307" s="611"/>
      <c r="D307" s="611"/>
      <c r="E307" s="611"/>
      <c r="F307" s="611"/>
      <c r="G307" s="611"/>
      <c r="H307" s="611"/>
      <c r="I307" s="611"/>
      <c r="J307" s="612"/>
    </row>
    <row r="308" spans="1:10" ht="12.75" customHeight="1" x14ac:dyDescent="0.2">
      <c r="A308" s="610"/>
      <c r="B308" s="611"/>
      <c r="C308" s="611"/>
      <c r="D308" s="611"/>
      <c r="E308" s="611"/>
      <c r="F308" s="611"/>
      <c r="G308" s="611"/>
      <c r="H308" s="611"/>
      <c r="I308" s="611"/>
      <c r="J308" s="612"/>
    </row>
    <row r="309" spans="1:10" ht="12.75" customHeight="1" x14ac:dyDescent="0.2">
      <c r="A309" s="610"/>
      <c r="B309" s="611"/>
      <c r="C309" s="611"/>
      <c r="D309" s="611"/>
      <c r="E309" s="611"/>
      <c r="F309" s="611"/>
      <c r="G309" s="611"/>
      <c r="H309" s="611"/>
      <c r="I309" s="611"/>
      <c r="J309" s="612"/>
    </row>
    <row r="310" spans="1:10" ht="12.75" customHeight="1" x14ac:dyDescent="0.2">
      <c r="A310" s="610"/>
      <c r="B310" s="611"/>
      <c r="C310" s="611"/>
      <c r="D310" s="611"/>
      <c r="E310" s="611"/>
      <c r="F310" s="611"/>
      <c r="G310" s="611"/>
      <c r="H310" s="611"/>
      <c r="I310" s="611"/>
      <c r="J310" s="612"/>
    </row>
    <row r="311" spans="1:10" ht="12.75" customHeight="1" x14ac:dyDescent="0.2">
      <c r="A311" s="610"/>
      <c r="B311" s="611"/>
      <c r="C311" s="611"/>
      <c r="D311" s="611"/>
      <c r="E311" s="611"/>
      <c r="F311" s="611"/>
      <c r="G311" s="611"/>
      <c r="H311" s="611"/>
      <c r="I311" s="611"/>
      <c r="J311" s="612"/>
    </row>
    <row r="312" spans="1:10" ht="12.75" customHeight="1" x14ac:dyDescent="0.2">
      <c r="A312" s="610"/>
      <c r="B312" s="611"/>
      <c r="C312" s="611"/>
      <c r="D312" s="611"/>
      <c r="E312" s="611"/>
      <c r="F312" s="611"/>
      <c r="G312" s="611"/>
      <c r="H312" s="611"/>
      <c r="I312" s="611"/>
      <c r="J312" s="612"/>
    </row>
    <row r="313" spans="1:10" ht="12.75" customHeight="1" x14ac:dyDescent="0.2">
      <c r="A313" s="610"/>
      <c r="B313" s="611"/>
      <c r="C313" s="611"/>
      <c r="D313" s="611"/>
      <c r="E313" s="611"/>
      <c r="F313" s="611"/>
      <c r="G313" s="611"/>
      <c r="H313" s="611"/>
      <c r="I313" s="611"/>
      <c r="J313" s="612"/>
    </row>
    <row r="314" spans="1:10" ht="12.75" customHeight="1" x14ac:dyDescent="0.2">
      <c r="A314" s="610"/>
      <c r="B314" s="611"/>
      <c r="C314" s="611"/>
      <c r="D314" s="611"/>
      <c r="E314" s="611"/>
      <c r="F314" s="611"/>
      <c r="G314" s="611"/>
      <c r="H314" s="611"/>
      <c r="I314" s="611"/>
      <c r="J314" s="612"/>
    </row>
    <row r="315" spans="1:10" ht="12.75" customHeight="1" x14ac:dyDescent="0.2">
      <c r="A315" s="610"/>
      <c r="B315" s="611"/>
      <c r="C315" s="611"/>
      <c r="D315" s="611"/>
      <c r="E315" s="611"/>
      <c r="F315" s="611"/>
      <c r="G315" s="611"/>
      <c r="H315" s="611"/>
      <c r="I315" s="611"/>
      <c r="J315" s="612"/>
    </row>
    <row r="316" spans="1:10" ht="12.75" customHeight="1" x14ac:dyDescent="0.2">
      <c r="A316" s="610"/>
      <c r="B316" s="611"/>
      <c r="C316" s="611"/>
      <c r="D316" s="611"/>
      <c r="E316" s="611"/>
      <c r="F316" s="611"/>
      <c r="G316" s="611"/>
      <c r="H316" s="611"/>
      <c r="I316" s="611"/>
      <c r="J316" s="612"/>
    </row>
    <row r="317" spans="1:10" ht="12.75" customHeight="1" x14ac:dyDescent="0.2">
      <c r="A317" s="610"/>
      <c r="B317" s="611"/>
      <c r="C317" s="611"/>
      <c r="D317" s="611"/>
      <c r="E317" s="611"/>
      <c r="F317" s="611"/>
      <c r="G317" s="611"/>
      <c r="H317" s="611"/>
      <c r="I317" s="611"/>
      <c r="J317" s="612"/>
    </row>
    <row r="318" spans="1:10" ht="12.75" customHeight="1" x14ac:dyDescent="0.2">
      <c r="A318" s="610"/>
      <c r="B318" s="611"/>
      <c r="C318" s="611"/>
      <c r="D318" s="611"/>
      <c r="E318" s="611"/>
      <c r="F318" s="611"/>
      <c r="G318" s="611"/>
      <c r="H318" s="611"/>
      <c r="I318" s="611"/>
      <c r="J318" s="612"/>
    </row>
    <row r="319" spans="1:10" ht="12.75" customHeight="1" x14ac:dyDescent="0.2">
      <c r="A319" s="610"/>
      <c r="B319" s="611"/>
      <c r="C319" s="611"/>
      <c r="D319" s="611"/>
      <c r="E319" s="611"/>
      <c r="F319" s="611"/>
      <c r="G319" s="611"/>
      <c r="H319" s="611"/>
      <c r="I319" s="611"/>
      <c r="J319" s="612"/>
    </row>
    <row r="320" spans="1:10" ht="12.75" customHeight="1" x14ac:dyDescent="0.2">
      <c r="A320" s="610"/>
      <c r="B320" s="611"/>
      <c r="C320" s="611"/>
      <c r="D320" s="611"/>
      <c r="E320" s="611"/>
      <c r="F320" s="611"/>
      <c r="G320" s="611"/>
      <c r="H320" s="611"/>
      <c r="I320" s="611"/>
      <c r="J320" s="612"/>
    </row>
    <row r="321" spans="1:10" ht="12.75" customHeight="1" x14ac:dyDescent="0.2">
      <c r="A321" s="610"/>
      <c r="B321" s="611"/>
      <c r="C321" s="611"/>
      <c r="D321" s="611"/>
      <c r="E321" s="611"/>
      <c r="F321" s="611"/>
      <c r="G321" s="611"/>
      <c r="H321" s="611"/>
      <c r="I321" s="611"/>
      <c r="J321" s="612"/>
    </row>
    <row r="322" spans="1:10" ht="12.75" customHeight="1" x14ac:dyDescent="0.2">
      <c r="A322" s="610"/>
      <c r="B322" s="611"/>
      <c r="C322" s="611"/>
      <c r="D322" s="611"/>
      <c r="E322" s="611"/>
      <c r="F322" s="611"/>
      <c r="G322" s="611"/>
      <c r="H322" s="611"/>
      <c r="I322" s="611"/>
      <c r="J322" s="612"/>
    </row>
    <row r="323" spans="1:10" ht="12.75" customHeight="1" x14ac:dyDescent="0.2">
      <c r="A323" s="610"/>
      <c r="B323" s="611"/>
      <c r="C323" s="611"/>
      <c r="D323" s="611"/>
      <c r="E323" s="611"/>
      <c r="F323" s="611"/>
      <c r="G323" s="611"/>
      <c r="H323" s="611"/>
      <c r="I323" s="611"/>
      <c r="J323" s="612"/>
    </row>
    <row r="324" spans="1:10" ht="12.75" customHeight="1" x14ac:dyDescent="0.2">
      <c r="A324" s="610"/>
      <c r="B324" s="611"/>
      <c r="C324" s="611"/>
      <c r="D324" s="611"/>
      <c r="E324" s="611"/>
      <c r="F324" s="611"/>
      <c r="G324" s="611"/>
      <c r="H324" s="611"/>
      <c r="I324" s="611"/>
      <c r="J324" s="612"/>
    </row>
    <row r="325" spans="1:10" ht="12.75" customHeight="1" x14ac:dyDescent="0.2">
      <c r="A325" s="610"/>
      <c r="B325" s="611"/>
      <c r="C325" s="611"/>
      <c r="D325" s="611"/>
      <c r="E325" s="611"/>
      <c r="F325" s="611"/>
      <c r="G325" s="611"/>
      <c r="H325" s="611"/>
      <c r="I325" s="611"/>
      <c r="J325" s="612"/>
    </row>
    <row r="326" spans="1:10" ht="12.75" customHeight="1" x14ac:dyDescent="0.2">
      <c r="A326" s="610"/>
      <c r="B326" s="611"/>
      <c r="C326" s="611"/>
      <c r="D326" s="611"/>
      <c r="E326" s="611"/>
      <c r="F326" s="611"/>
      <c r="G326" s="611"/>
      <c r="H326" s="611"/>
      <c r="I326" s="611"/>
      <c r="J326" s="612"/>
    </row>
    <row r="327" spans="1:10" ht="12.75" customHeight="1" x14ac:dyDescent="0.2">
      <c r="A327" s="610"/>
      <c r="B327" s="611"/>
      <c r="C327" s="611"/>
      <c r="D327" s="611"/>
      <c r="E327" s="611"/>
      <c r="F327" s="611"/>
      <c r="G327" s="611"/>
      <c r="H327" s="611"/>
      <c r="I327" s="611"/>
      <c r="J327" s="612"/>
    </row>
    <row r="328" spans="1:10" ht="12.75" customHeight="1" x14ac:dyDescent="0.2">
      <c r="A328" s="610"/>
      <c r="B328" s="611"/>
      <c r="C328" s="611"/>
      <c r="D328" s="611"/>
      <c r="E328" s="611"/>
      <c r="F328" s="611"/>
      <c r="G328" s="611"/>
      <c r="H328" s="611"/>
      <c r="I328" s="611"/>
      <c r="J328" s="612"/>
    </row>
    <row r="329" spans="1:10" ht="12.75" customHeight="1" x14ac:dyDescent="0.2">
      <c r="A329" s="610"/>
      <c r="B329" s="611"/>
      <c r="C329" s="611"/>
      <c r="D329" s="611"/>
      <c r="E329" s="611"/>
      <c r="F329" s="611"/>
      <c r="G329" s="611"/>
      <c r="H329" s="611"/>
      <c r="I329" s="611"/>
      <c r="J329" s="612"/>
    </row>
    <row r="330" spans="1:10" ht="12.75" customHeight="1" x14ac:dyDescent="0.2">
      <c r="A330" s="610"/>
      <c r="B330" s="611"/>
      <c r="C330" s="611"/>
      <c r="D330" s="611"/>
      <c r="E330" s="611"/>
      <c r="F330" s="611"/>
      <c r="G330" s="611"/>
      <c r="H330" s="611"/>
      <c r="I330" s="611"/>
      <c r="J330" s="612"/>
    </row>
    <row r="331" spans="1:10" ht="12.75" customHeight="1" x14ac:dyDescent="0.2">
      <c r="A331" s="610"/>
      <c r="B331" s="611"/>
      <c r="C331" s="611"/>
      <c r="D331" s="611"/>
      <c r="E331" s="611"/>
      <c r="F331" s="611"/>
      <c r="G331" s="611"/>
      <c r="H331" s="611"/>
      <c r="I331" s="611"/>
      <c r="J331" s="612"/>
    </row>
    <row r="332" spans="1:10" ht="12.75" customHeight="1" x14ac:dyDescent="0.2">
      <c r="A332" s="610"/>
      <c r="B332" s="611"/>
      <c r="C332" s="611"/>
      <c r="D332" s="611"/>
      <c r="E332" s="611"/>
      <c r="F332" s="611"/>
      <c r="G332" s="611"/>
      <c r="H332" s="611"/>
      <c r="I332" s="611"/>
      <c r="J332" s="612"/>
    </row>
    <row r="333" spans="1:10" ht="12.75" customHeight="1" x14ac:dyDescent="0.2">
      <c r="A333" s="610"/>
      <c r="B333" s="611"/>
      <c r="C333" s="611"/>
      <c r="D333" s="611"/>
      <c r="E333" s="611"/>
      <c r="F333" s="611"/>
      <c r="G333" s="611"/>
      <c r="H333" s="611"/>
      <c r="I333" s="611"/>
      <c r="J333" s="612"/>
    </row>
    <row r="334" spans="1:10" ht="12.75" customHeight="1" x14ac:dyDescent="0.2">
      <c r="A334" s="610"/>
      <c r="B334" s="611"/>
      <c r="C334" s="611"/>
      <c r="D334" s="611"/>
      <c r="E334" s="611"/>
      <c r="F334" s="611"/>
      <c r="G334" s="611"/>
      <c r="H334" s="611"/>
      <c r="I334" s="611"/>
      <c r="J334" s="612"/>
    </row>
    <row r="335" spans="1:10" ht="12.75" customHeight="1" x14ac:dyDescent="0.2">
      <c r="A335" s="610"/>
      <c r="B335" s="611"/>
      <c r="C335" s="611"/>
      <c r="D335" s="611"/>
      <c r="E335" s="611"/>
      <c r="F335" s="611"/>
      <c r="G335" s="611"/>
      <c r="H335" s="611"/>
      <c r="I335" s="611"/>
      <c r="J335" s="612"/>
    </row>
    <row r="336" spans="1:10" ht="12.75" customHeight="1" x14ac:dyDescent="0.2">
      <c r="A336" s="610"/>
      <c r="B336" s="611"/>
      <c r="C336" s="611"/>
      <c r="D336" s="611"/>
      <c r="E336" s="611"/>
      <c r="F336" s="611"/>
      <c r="G336" s="611"/>
      <c r="H336" s="611"/>
      <c r="I336" s="611"/>
      <c r="J336" s="612"/>
    </row>
    <row r="337" spans="1:10" s="61" customFormat="1" x14ac:dyDescent="0.2">
      <c r="A337" s="55"/>
      <c r="B337" s="56"/>
      <c r="C337" s="57"/>
      <c r="D337" s="58"/>
      <c r="E337" s="58"/>
      <c r="F337" s="58"/>
      <c r="G337" s="58"/>
      <c r="H337" s="59"/>
      <c r="I337" s="57"/>
      <c r="J337" s="60"/>
    </row>
    <row r="338" spans="1:10" s="61" customFormat="1" ht="25.5" customHeight="1" x14ac:dyDescent="0.2">
      <c r="A338" s="602" t="s">
        <v>108</v>
      </c>
      <c r="B338" s="603"/>
      <c r="C338" s="603"/>
      <c r="D338" s="603"/>
      <c r="E338" s="603"/>
      <c r="F338" s="603"/>
      <c r="G338" s="603"/>
      <c r="H338" s="603"/>
      <c r="I338" s="603"/>
      <c r="J338" s="604"/>
    </row>
    <row r="339" spans="1:10" s="61" customFormat="1" ht="12.75" customHeight="1" x14ac:dyDescent="0.2">
      <c r="A339" s="348" t="s">
        <v>169</v>
      </c>
      <c r="B339" s="349"/>
      <c r="C339" s="349"/>
      <c r="D339" s="349"/>
      <c r="E339" s="349"/>
      <c r="F339" s="614"/>
      <c r="G339" s="614"/>
      <c r="H339" s="614"/>
      <c r="I339" s="614"/>
      <c r="J339" s="615"/>
    </row>
    <row r="340" spans="1:10" ht="12.75" customHeight="1" x14ac:dyDescent="0.2">
      <c r="A340" s="593" t="s">
        <v>369</v>
      </c>
      <c r="B340" s="594"/>
      <c r="C340" s="594"/>
      <c r="D340" s="594"/>
      <c r="E340" s="594"/>
      <c r="F340" s="594"/>
      <c r="G340" s="594"/>
      <c r="H340" s="594"/>
      <c r="I340" s="594"/>
      <c r="J340" s="595"/>
    </row>
    <row r="341" spans="1:10" ht="12.75" customHeight="1" x14ac:dyDescent="0.2">
      <c r="A341" s="596"/>
      <c r="B341" s="597"/>
      <c r="C341" s="597"/>
      <c r="D341" s="597"/>
      <c r="E341" s="597"/>
      <c r="F341" s="597"/>
      <c r="G341" s="597"/>
      <c r="H341" s="597"/>
      <c r="I341" s="597"/>
      <c r="J341" s="598"/>
    </row>
    <row r="342" spans="1:10" ht="12.75" customHeight="1" x14ac:dyDescent="0.2">
      <c r="A342" s="596"/>
      <c r="B342" s="597"/>
      <c r="C342" s="597"/>
      <c r="D342" s="597"/>
      <c r="E342" s="597"/>
      <c r="F342" s="597"/>
      <c r="G342" s="597"/>
      <c r="H342" s="597"/>
      <c r="I342" s="597"/>
      <c r="J342" s="598"/>
    </row>
    <row r="343" spans="1:10" ht="15" customHeight="1" x14ac:dyDescent="0.2">
      <c r="A343" s="599"/>
      <c r="B343" s="600"/>
      <c r="C343" s="600"/>
      <c r="D343" s="600"/>
      <c r="E343" s="600"/>
      <c r="F343" s="600"/>
      <c r="G343" s="600"/>
      <c r="H343" s="600"/>
      <c r="I343" s="600"/>
      <c r="J343" s="601"/>
    </row>
    <row r="344" spans="1:10" ht="12.75" customHeight="1" x14ac:dyDescent="0.2">
      <c r="A344" s="610"/>
      <c r="B344" s="611"/>
      <c r="C344" s="611"/>
      <c r="D344" s="611"/>
      <c r="E344" s="611"/>
      <c r="F344" s="611"/>
      <c r="G344" s="611"/>
      <c r="H344" s="611"/>
      <c r="I344" s="611"/>
      <c r="J344" s="612"/>
    </row>
    <row r="345" spans="1:10" ht="12.75" customHeight="1" x14ac:dyDescent="0.2">
      <c r="A345" s="610"/>
      <c r="B345" s="611"/>
      <c r="C345" s="611"/>
      <c r="D345" s="611"/>
      <c r="E345" s="611"/>
      <c r="F345" s="611"/>
      <c r="G345" s="611"/>
      <c r="H345" s="611"/>
      <c r="I345" s="611"/>
      <c r="J345" s="612"/>
    </row>
    <row r="346" spans="1:10" ht="12.75" customHeight="1" x14ac:dyDescent="0.2">
      <c r="A346" s="610"/>
      <c r="B346" s="611"/>
      <c r="C346" s="611"/>
      <c r="D346" s="611"/>
      <c r="E346" s="611"/>
      <c r="F346" s="611"/>
      <c r="G346" s="611"/>
      <c r="H346" s="611"/>
      <c r="I346" s="611"/>
      <c r="J346" s="612"/>
    </row>
    <row r="347" spans="1:10" ht="12.75" customHeight="1" x14ac:dyDescent="0.2">
      <c r="A347" s="610"/>
      <c r="B347" s="611"/>
      <c r="C347" s="611"/>
      <c r="D347" s="611"/>
      <c r="E347" s="611"/>
      <c r="F347" s="611"/>
      <c r="G347" s="611"/>
      <c r="H347" s="611"/>
      <c r="I347" s="611"/>
      <c r="J347" s="612"/>
    </row>
    <row r="348" spans="1:10" ht="12.75" customHeight="1" x14ac:dyDescent="0.2">
      <c r="A348" s="610"/>
      <c r="B348" s="611"/>
      <c r="C348" s="611"/>
      <c r="D348" s="611"/>
      <c r="E348" s="611"/>
      <c r="F348" s="611"/>
      <c r="G348" s="611"/>
      <c r="H348" s="611"/>
      <c r="I348" s="611"/>
      <c r="J348" s="612"/>
    </row>
    <row r="349" spans="1:10" ht="12.75" customHeight="1" x14ac:dyDescent="0.2">
      <c r="A349" s="610"/>
      <c r="B349" s="611"/>
      <c r="C349" s="611"/>
      <c r="D349" s="611"/>
      <c r="E349" s="611"/>
      <c r="F349" s="611"/>
      <c r="G349" s="611"/>
      <c r="H349" s="611"/>
      <c r="I349" s="611"/>
      <c r="J349" s="612"/>
    </row>
    <row r="350" spans="1:10" ht="12.75" customHeight="1" x14ac:dyDescent="0.2">
      <c r="A350" s="610"/>
      <c r="B350" s="611"/>
      <c r="C350" s="611"/>
      <c r="D350" s="611"/>
      <c r="E350" s="611"/>
      <c r="F350" s="611"/>
      <c r="G350" s="611"/>
      <c r="H350" s="611"/>
      <c r="I350" s="611"/>
      <c r="J350" s="612"/>
    </row>
    <row r="351" spans="1:10" ht="12.75" customHeight="1" x14ac:dyDescent="0.2">
      <c r="A351" s="610"/>
      <c r="B351" s="611"/>
      <c r="C351" s="611"/>
      <c r="D351" s="611"/>
      <c r="E351" s="611"/>
      <c r="F351" s="611"/>
      <c r="G351" s="611"/>
      <c r="H351" s="611"/>
      <c r="I351" s="611"/>
      <c r="J351" s="612"/>
    </row>
    <row r="352" spans="1:10" ht="12.75" customHeight="1" x14ac:dyDescent="0.2">
      <c r="A352" s="610"/>
      <c r="B352" s="611"/>
      <c r="C352" s="611"/>
      <c r="D352" s="611"/>
      <c r="E352" s="611"/>
      <c r="F352" s="611"/>
      <c r="G352" s="611"/>
      <c r="H352" s="611"/>
      <c r="I352" s="611"/>
      <c r="J352" s="612"/>
    </row>
    <row r="353" spans="1:10" ht="12.75" customHeight="1" x14ac:dyDescent="0.2">
      <c r="A353" s="610"/>
      <c r="B353" s="611"/>
      <c r="C353" s="611"/>
      <c r="D353" s="611"/>
      <c r="E353" s="611"/>
      <c r="F353" s="611"/>
      <c r="G353" s="611"/>
      <c r="H353" s="611"/>
      <c r="I353" s="611"/>
      <c r="J353" s="612"/>
    </row>
    <row r="354" spans="1:10" ht="12.75" customHeight="1" x14ac:dyDescent="0.2">
      <c r="A354" s="610"/>
      <c r="B354" s="611"/>
      <c r="C354" s="611"/>
      <c r="D354" s="611"/>
      <c r="E354" s="611"/>
      <c r="F354" s="611"/>
      <c r="G354" s="611"/>
      <c r="H354" s="611"/>
      <c r="I354" s="611"/>
      <c r="J354" s="612"/>
    </row>
    <row r="355" spans="1:10" ht="12.75" customHeight="1" x14ac:dyDescent="0.2">
      <c r="A355" s="610"/>
      <c r="B355" s="611"/>
      <c r="C355" s="611"/>
      <c r="D355" s="611"/>
      <c r="E355" s="611"/>
      <c r="F355" s="611"/>
      <c r="G355" s="611"/>
      <c r="H355" s="611"/>
      <c r="I355" s="611"/>
      <c r="J355" s="612"/>
    </row>
    <row r="356" spans="1:10" ht="12.75" customHeight="1" x14ac:dyDescent="0.2">
      <c r="A356" s="610"/>
      <c r="B356" s="611"/>
      <c r="C356" s="611"/>
      <c r="D356" s="611"/>
      <c r="E356" s="611"/>
      <c r="F356" s="611"/>
      <c r="G356" s="611"/>
      <c r="H356" s="611"/>
      <c r="I356" s="611"/>
      <c r="J356" s="612"/>
    </row>
    <row r="357" spans="1:10" ht="12.75" customHeight="1" x14ac:dyDescent="0.2">
      <c r="A357" s="610"/>
      <c r="B357" s="611"/>
      <c r="C357" s="611"/>
      <c r="D357" s="611"/>
      <c r="E357" s="611"/>
      <c r="F357" s="611"/>
      <c r="G357" s="611"/>
      <c r="H357" s="611"/>
      <c r="I357" s="611"/>
      <c r="J357" s="612"/>
    </row>
    <row r="358" spans="1:10" ht="12.75" customHeight="1" x14ac:dyDescent="0.2">
      <c r="A358" s="610"/>
      <c r="B358" s="611"/>
      <c r="C358" s="611"/>
      <c r="D358" s="611"/>
      <c r="E358" s="611"/>
      <c r="F358" s="611"/>
      <c r="G358" s="611"/>
      <c r="H358" s="611"/>
      <c r="I358" s="611"/>
      <c r="J358" s="612"/>
    </row>
    <row r="359" spans="1:10" ht="12.75" customHeight="1" x14ac:dyDescent="0.2">
      <c r="A359" s="610"/>
      <c r="B359" s="611"/>
      <c r="C359" s="611"/>
      <c r="D359" s="611"/>
      <c r="E359" s="611"/>
      <c r="F359" s="611"/>
      <c r="G359" s="611"/>
      <c r="H359" s="611"/>
      <c r="I359" s="611"/>
      <c r="J359" s="612"/>
    </row>
    <row r="360" spans="1:10" ht="12.75" customHeight="1" x14ac:dyDescent="0.2">
      <c r="A360" s="610"/>
      <c r="B360" s="611"/>
      <c r="C360" s="611"/>
      <c r="D360" s="611"/>
      <c r="E360" s="611"/>
      <c r="F360" s="611"/>
      <c r="G360" s="611"/>
      <c r="H360" s="611"/>
      <c r="I360" s="611"/>
      <c r="J360" s="612"/>
    </row>
    <row r="361" spans="1:10" ht="12.75" customHeight="1" x14ac:dyDescent="0.2">
      <c r="A361" s="610"/>
      <c r="B361" s="611"/>
      <c r="C361" s="611"/>
      <c r="D361" s="611"/>
      <c r="E361" s="611"/>
      <c r="F361" s="611"/>
      <c r="G361" s="611"/>
      <c r="H361" s="611"/>
      <c r="I361" s="611"/>
      <c r="J361" s="612"/>
    </row>
    <row r="362" spans="1:10" ht="12.75" customHeight="1" x14ac:dyDescent="0.2">
      <c r="A362" s="610"/>
      <c r="B362" s="611"/>
      <c r="C362" s="611"/>
      <c r="D362" s="611"/>
      <c r="E362" s="611"/>
      <c r="F362" s="611"/>
      <c r="G362" s="611"/>
      <c r="H362" s="611"/>
      <c r="I362" s="611"/>
      <c r="J362" s="612"/>
    </row>
    <row r="363" spans="1:10" ht="12.75" customHeight="1" x14ac:dyDescent="0.2">
      <c r="A363" s="610"/>
      <c r="B363" s="611"/>
      <c r="C363" s="611"/>
      <c r="D363" s="611"/>
      <c r="E363" s="611"/>
      <c r="F363" s="611"/>
      <c r="G363" s="611"/>
      <c r="H363" s="611"/>
      <c r="I363" s="611"/>
      <c r="J363" s="612"/>
    </row>
    <row r="364" spans="1:10" ht="12.75" customHeight="1" x14ac:dyDescent="0.2">
      <c r="A364" s="610"/>
      <c r="B364" s="611"/>
      <c r="C364" s="611"/>
      <c r="D364" s="611"/>
      <c r="E364" s="611"/>
      <c r="F364" s="611"/>
      <c r="G364" s="611"/>
      <c r="H364" s="611"/>
      <c r="I364" s="611"/>
      <c r="J364" s="612"/>
    </row>
    <row r="365" spans="1:10" ht="12.75" customHeight="1" x14ac:dyDescent="0.2">
      <c r="A365" s="610"/>
      <c r="B365" s="611"/>
      <c r="C365" s="611"/>
      <c r="D365" s="611"/>
      <c r="E365" s="611"/>
      <c r="F365" s="611"/>
      <c r="G365" s="611"/>
      <c r="H365" s="611"/>
      <c r="I365" s="611"/>
      <c r="J365" s="612"/>
    </row>
    <row r="366" spans="1:10" ht="12.75" customHeight="1" x14ac:dyDescent="0.2">
      <c r="A366" s="610"/>
      <c r="B366" s="611"/>
      <c r="C366" s="611"/>
      <c r="D366" s="611"/>
      <c r="E366" s="611"/>
      <c r="F366" s="611"/>
      <c r="G366" s="611"/>
      <c r="H366" s="611"/>
      <c r="I366" s="611"/>
      <c r="J366" s="612"/>
    </row>
    <row r="367" spans="1:10" ht="12.75" customHeight="1" x14ac:dyDescent="0.2">
      <c r="A367" s="610"/>
      <c r="B367" s="611"/>
      <c r="C367" s="611"/>
      <c r="D367" s="611"/>
      <c r="E367" s="611"/>
      <c r="F367" s="611"/>
      <c r="G367" s="611"/>
      <c r="H367" s="611"/>
      <c r="I367" s="611"/>
      <c r="J367" s="612"/>
    </row>
    <row r="368" spans="1:10" ht="12.75" customHeight="1" x14ac:dyDescent="0.2">
      <c r="A368" s="610"/>
      <c r="B368" s="611"/>
      <c r="C368" s="611"/>
      <c r="D368" s="611"/>
      <c r="E368" s="611"/>
      <c r="F368" s="611"/>
      <c r="G368" s="611"/>
      <c r="H368" s="611"/>
      <c r="I368" s="611"/>
      <c r="J368" s="612"/>
    </row>
    <row r="369" spans="1:10" ht="12.75" customHeight="1" x14ac:dyDescent="0.2">
      <c r="A369" s="610"/>
      <c r="B369" s="611"/>
      <c r="C369" s="611"/>
      <c r="D369" s="611"/>
      <c r="E369" s="611"/>
      <c r="F369" s="611"/>
      <c r="G369" s="611"/>
      <c r="H369" s="611"/>
      <c r="I369" s="611"/>
      <c r="J369" s="612"/>
    </row>
    <row r="370" spans="1:10" ht="12.75" customHeight="1" x14ac:dyDescent="0.2">
      <c r="A370" s="610"/>
      <c r="B370" s="611"/>
      <c r="C370" s="611"/>
      <c r="D370" s="611"/>
      <c r="E370" s="611"/>
      <c r="F370" s="611"/>
      <c r="G370" s="611"/>
      <c r="H370" s="611"/>
      <c r="I370" s="611"/>
      <c r="J370" s="612"/>
    </row>
    <row r="371" spans="1:10" ht="12.75" customHeight="1" x14ac:dyDescent="0.2">
      <c r="A371" s="610"/>
      <c r="B371" s="611"/>
      <c r="C371" s="611"/>
      <c r="D371" s="611"/>
      <c r="E371" s="611"/>
      <c r="F371" s="611"/>
      <c r="G371" s="611"/>
      <c r="H371" s="611"/>
      <c r="I371" s="611"/>
      <c r="J371" s="612"/>
    </row>
    <row r="372" spans="1:10" ht="12.75" customHeight="1" x14ac:dyDescent="0.2">
      <c r="A372" s="610"/>
      <c r="B372" s="611"/>
      <c r="C372" s="611"/>
      <c r="D372" s="611"/>
      <c r="E372" s="611"/>
      <c r="F372" s="611"/>
      <c r="G372" s="611"/>
      <c r="H372" s="611"/>
      <c r="I372" s="611"/>
      <c r="J372" s="612"/>
    </row>
    <row r="373" spans="1:10" ht="12.75" customHeight="1" x14ac:dyDescent="0.2">
      <c r="A373" s="610"/>
      <c r="B373" s="611"/>
      <c r="C373" s="611"/>
      <c r="D373" s="611"/>
      <c r="E373" s="611"/>
      <c r="F373" s="611"/>
      <c r="G373" s="611"/>
      <c r="H373" s="611"/>
      <c r="I373" s="611"/>
      <c r="J373" s="612"/>
    </row>
    <row r="374" spans="1:10" ht="12.75" customHeight="1" x14ac:dyDescent="0.2">
      <c r="A374" s="610"/>
      <c r="B374" s="611"/>
      <c r="C374" s="611"/>
      <c r="D374" s="611"/>
      <c r="E374" s="611"/>
      <c r="F374" s="611"/>
      <c r="G374" s="611"/>
      <c r="H374" s="611"/>
      <c r="I374" s="611"/>
      <c r="J374" s="612"/>
    </row>
    <row r="375" spans="1:10" ht="12.75" customHeight="1" x14ac:dyDescent="0.2">
      <c r="A375" s="610"/>
      <c r="B375" s="611"/>
      <c r="C375" s="611"/>
      <c r="D375" s="611"/>
      <c r="E375" s="611"/>
      <c r="F375" s="611"/>
      <c r="G375" s="611"/>
      <c r="H375" s="611"/>
      <c r="I375" s="611"/>
      <c r="J375" s="612"/>
    </row>
    <row r="376" spans="1:10" ht="12.75" customHeight="1" x14ac:dyDescent="0.2">
      <c r="A376" s="610"/>
      <c r="B376" s="611"/>
      <c r="C376" s="611"/>
      <c r="D376" s="611"/>
      <c r="E376" s="611"/>
      <c r="F376" s="611"/>
      <c r="G376" s="611"/>
      <c r="H376" s="611"/>
      <c r="I376" s="611"/>
      <c r="J376" s="612"/>
    </row>
    <row r="377" spans="1:10" ht="12.75" customHeight="1" x14ac:dyDescent="0.2">
      <c r="A377" s="610"/>
      <c r="B377" s="611"/>
      <c r="C377" s="611"/>
      <c r="D377" s="611"/>
      <c r="E377" s="611"/>
      <c r="F377" s="611"/>
      <c r="G377" s="611"/>
      <c r="H377" s="611"/>
      <c r="I377" s="611"/>
      <c r="J377" s="612"/>
    </row>
    <row r="378" spans="1:10" ht="12.75" customHeight="1" x14ac:dyDescent="0.2">
      <c r="A378" s="610"/>
      <c r="B378" s="611"/>
      <c r="C378" s="611"/>
      <c r="D378" s="611"/>
      <c r="E378" s="611"/>
      <c r="F378" s="611"/>
      <c r="G378" s="611"/>
      <c r="H378" s="611"/>
      <c r="I378" s="611"/>
      <c r="J378" s="612"/>
    </row>
    <row r="379" spans="1:10" s="61" customFormat="1" x14ac:dyDescent="0.2">
      <c r="A379" s="55"/>
      <c r="B379" s="56"/>
      <c r="C379" s="57"/>
      <c r="D379" s="58"/>
      <c r="E379" s="58"/>
      <c r="F379" s="58"/>
      <c r="G379" s="58"/>
      <c r="H379" s="59"/>
      <c r="I379" s="57"/>
      <c r="J379" s="60"/>
    </row>
    <row r="380" spans="1:10" s="61" customFormat="1" ht="25.5" customHeight="1" x14ac:dyDescent="0.2">
      <c r="A380" s="602" t="s">
        <v>176</v>
      </c>
      <c r="B380" s="603"/>
      <c r="C380" s="603"/>
      <c r="D380" s="603"/>
      <c r="E380" s="603"/>
      <c r="F380" s="603"/>
      <c r="G380" s="603"/>
      <c r="H380" s="603"/>
      <c r="I380" s="603"/>
      <c r="J380" s="604"/>
    </row>
    <row r="381" spans="1:10" s="61" customFormat="1" ht="12.75" customHeight="1" x14ac:dyDescent="0.2">
      <c r="A381" s="348" t="s">
        <v>169</v>
      </c>
      <c r="B381" s="349"/>
      <c r="C381" s="349"/>
      <c r="D381" s="349"/>
      <c r="E381" s="349"/>
      <c r="F381" s="614"/>
      <c r="G381" s="614"/>
      <c r="H381" s="614"/>
      <c r="I381" s="614"/>
      <c r="J381" s="615"/>
    </row>
    <row r="382" spans="1:10" ht="12.75" customHeight="1" x14ac:dyDescent="0.2">
      <c r="A382" s="593" t="s">
        <v>369</v>
      </c>
      <c r="B382" s="594"/>
      <c r="C382" s="594"/>
      <c r="D382" s="594"/>
      <c r="E382" s="594"/>
      <c r="F382" s="594"/>
      <c r="G382" s="594"/>
      <c r="H382" s="594"/>
      <c r="I382" s="594"/>
      <c r="J382" s="595"/>
    </row>
    <row r="383" spans="1:10" ht="12.75" customHeight="1" x14ac:dyDescent="0.2">
      <c r="A383" s="596"/>
      <c r="B383" s="597"/>
      <c r="C383" s="597"/>
      <c r="D383" s="597"/>
      <c r="E383" s="597"/>
      <c r="F383" s="597"/>
      <c r="G383" s="597"/>
      <c r="H383" s="597"/>
      <c r="I383" s="597"/>
      <c r="J383" s="598"/>
    </row>
    <row r="384" spans="1:10" ht="12.75" customHeight="1" x14ac:dyDescent="0.2">
      <c r="A384" s="596"/>
      <c r="B384" s="597"/>
      <c r="C384" s="597"/>
      <c r="D384" s="597"/>
      <c r="E384" s="597"/>
      <c r="F384" s="597"/>
      <c r="G384" s="597"/>
      <c r="H384" s="597"/>
      <c r="I384" s="597"/>
      <c r="J384" s="598"/>
    </row>
    <row r="385" spans="1:10" ht="15" customHeight="1" x14ac:dyDescent="0.2">
      <c r="A385" s="599"/>
      <c r="B385" s="600"/>
      <c r="C385" s="600"/>
      <c r="D385" s="600"/>
      <c r="E385" s="600"/>
      <c r="F385" s="600"/>
      <c r="G385" s="600"/>
      <c r="H385" s="600"/>
      <c r="I385" s="600"/>
      <c r="J385" s="601"/>
    </row>
    <row r="386" spans="1:10" ht="12.75" customHeight="1" x14ac:dyDescent="0.2">
      <c r="A386" s="610"/>
      <c r="B386" s="611"/>
      <c r="C386" s="611"/>
      <c r="D386" s="611"/>
      <c r="E386" s="611"/>
      <c r="F386" s="611"/>
      <c r="G386" s="611"/>
      <c r="H386" s="611"/>
      <c r="I386" s="611"/>
      <c r="J386" s="612"/>
    </row>
    <row r="387" spans="1:10" ht="12.75" customHeight="1" x14ac:dyDescent="0.2">
      <c r="A387" s="610"/>
      <c r="B387" s="611"/>
      <c r="C387" s="611"/>
      <c r="D387" s="611"/>
      <c r="E387" s="611"/>
      <c r="F387" s="611"/>
      <c r="G387" s="611"/>
      <c r="H387" s="611"/>
      <c r="I387" s="611"/>
      <c r="J387" s="612"/>
    </row>
    <row r="388" spans="1:10" ht="12.75" customHeight="1" x14ac:dyDescent="0.2">
      <c r="A388" s="610"/>
      <c r="B388" s="611"/>
      <c r="C388" s="611"/>
      <c r="D388" s="611"/>
      <c r="E388" s="611"/>
      <c r="F388" s="611"/>
      <c r="G388" s="611"/>
      <c r="H388" s="611"/>
      <c r="I388" s="611"/>
      <c r="J388" s="612"/>
    </row>
    <row r="389" spans="1:10" ht="12.75" customHeight="1" x14ac:dyDescent="0.2">
      <c r="A389" s="610"/>
      <c r="B389" s="611"/>
      <c r="C389" s="611"/>
      <c r="D389" s="611"/>
      <c r="E389" s="611"/>
      <c r="F389" s="611"/>
      <c r="G389" s="611"/>
      <c r="H389" s="611"/>
      <c r="I389" s="611"/>
      <c r="J389" s="612"/>
    </row>
    <row r="390" spans="1:10" ht="12.75" customHeight="1" x14ac:dyDescent="0.2">
      <c r="A390" s="610"/>
      <c r="B390" s="611"/>
      <c r="C390" s="611"/>
      <c r="D390" s="611"/>
      <c r="E390" s="611"/>
      <c r="F390" s="611"/>
      <c r="G390" s="611"/>
      <c r="H390" s="611"/>
      <c r="I390" s="611"/>
      <c r="J390" s="612"/>
    </row>
    <row r="391" spans="1:10" ht="12.75" customHeight="1" x14ac:dyDescent="0.2">
      <c r="A391" s="610"/>
      <c r="B391" s="611"/>
      <c r="C391" s="611"/>
      <c r="D391" s="611"/>
      <c r="E391" s="611"/>
      <c r="F391" s="611"/>
      <c r="G391" s="611"/>
      <c r="H391" s="611"/>
      <c r="I391" s="611"/>
      <c r="J391" s="612"/>
    </row>
    <row r="392" spans="1:10" ht="12.75" customHeight="1" x14ac:dyDescent="0.2">
      <c r="A392" s="610"/>
      <c r="B392" s="611"/>
      <c r="C392" s="611"/>
      <c r="D392" s="611"/>
      <c r="E392" s="611"/>
      <c r="F392" s="611"/>
      <c r="G392" s="611"/>
      <c r="H392" s="611"/>
      <c r="I392" s="611"/>
      <c r="J392" s="612"/>
    </row>
    <row r="393" spans="1:10" ht="12.75" customHeight="1" x14ac:dyDescent="0.2">
      <c r="A393" s="610"/>
      <c r="B393" s="611"/>
      <c r="C393" s="611"/>
      <c r="D393" s="611"/>
      <c r="E393" s="611"/>
      <c r="F393" s="611"/>
      <c r="G393" s="611"/>
      <c r="H393" s="611"/>
      <c r="I393" s="611"/>
      <c r="J393" s="612"/>
    </row>
    <row r="394" spans="1:10" ht="12.75" customHeight="1" x14ac:dyDescent="0.2">
      <c r="A394" s="610"/>
      <c r="B394" s="611"/>
      <c r="C394" s="611"/>
      <c r="D394" s="611"/>
      <c r="E394" s="611"/>
      <c r="F394" s="611"/>
      <c r="G394" s="611"/>
      <c r="H394" s="611"/>
      <c r="I394" s="611"/>
      <c r="J394" s="612"/>
    </row>
    <row r="395" spans="1:10" ht="12.75" customHeight="1" x14ac:dyDescent="0.2">
      <c r="A395" s="610"/>
      <c r="B395" s="611"/>
      <c r="C395" s="611"/>
      <c r="D395" s="611"/>
      <c r="E395" s="611"/>
      <c r="F395" s="611"/>
      <c r="G395" s="611"/>
      <c r="H395" s="611"/>
      <c r="I395" s="611"/>
      <c r="J395" s="612"/>
    </row>
    <row r="396" spans="1:10" ht="12.75" customHeight="1" x14ac:dyDescent="0.2">
      <c r="A396" s="610"/>
      <c r="B396" s="611"/>
      <c r="C396" s="611"/>
      <c r="D396" s="611"/>
      <c r="E396" s="611"/>
      <c r="F396" s="611"/>
      <c r="G396" s="611"/>
      <c r="H396" s="611"/>
      <c r="I396" s="611"/>
      <c r="J396" s="612"/>
    </row>
    <row r="397" spans="1:10" ht="12.75" customHeight="1" x14ac:dyDescent="0.2">
      <c r="A397" s="610"/>
      <c r="B397" s="611"/>
      <c r="C397" s="611"/>
      <c r="D397" s="611"/>
      <c r="E397" s="611"/>
      <c r="F397" s="611"/>
      <c r="G397" s="611"/>
      <c r="H397" s="611"/>
      <c r="I397" s="611"/>
      <c r="J397" s="612"/>
    </row>
    <row r="398" spans="1:10" ht="12.75" customHeight="1" x14ac:dyDescent="0.2">
      <c r="A398" s="610"/>
      <c r="B398" s="611"/>
      <c r="C398" s="611"/>
      <c r="D398" s="611"/>
      <c r="E398" s="611"/>
      <c r="F398" s="611"/>
      <c r="G398" s="611"/>
      <c r="H398" s="611"/>
      <c r="I398" s="611"/>
      <c r="J398" s="612"/>
    </row>
    <row r="399" spans="1:10" ht="12.75" customHeight="1" x14ac:dyDescent="0.2">
      <c r="A399" s="610"/>
      <c r="B399" s="611"/>
      <c r="C399" s="611"/>
      <c r="D399" s="611"/>
      <c r="E399" s="611"/>
      <c r="F399" s="611"/>
      <c r="G399" s="611"/>
      <c r="H399" s="611"/>
      <c r="I399" s="611"/>
      <c r="J399" s="612"/>
    </row>
    <row r="400" spans="1:10" ht="12.75" customHeight="1" x14ac:dyDescent="0.2">
      <c r="A400" s="610"/>
      <c r="B400" s="611"/>
      <c r="C400" s="611"/>
      <c r="D400" s="611"/>
      <c r="E400" s="611"/>
      <c r="F400" s="611"/>
      <c r="G400" s="611"/>
      <c r="H400" s="611"/>
      <c r="I400" s="611"/>
      <c r="J400" s="612"/>
    </row>
    <row r="401" spans="1:10" ht="12.75" customHeight="1" x14ac:dyDescent="0.2">
      <c r="A401" s="610"/>
      <c r="B401" s="611"/>
      <c r="C401" s="611"/>
      <c r="D401" s="611"/>
      <c r="E401" s="611"/>
      <c r="F401" s="611"/>
      <c r="G401" s="611"/>
      <c r="H401" s="611"/>
      <c r="I401" s="611"/>
      <c r="J401" s="612"/>
    </row>
    <row r="402" spans="1:10" ht="12.75" customHeight="1" x14ac:dyDescent="0.2">
      <c r="A402" s="610"/>
      <c r="B402" s="611"/>
      <c r="C402" s="611"/>
      <c r="D402" s="611"/>
      <c r="E402" s="611"/>
      <c r="F402" s="611"/>
      <c r="G402" s="611"/>
      <c r="H402" s="611"/>
      <c r="I402" s="611"/>
      <c r="J402" s="612"/>
    </row>
    <row r="403" spans="1:10" ht="12.75" customHeight="1" x14ac:dyDescent="0.2">
      <c r="A403" s="610"/>
      <c r="B403" s="611"/>
      <c r="C403" s="611"/>
      <c r="D403" s="611"/>
      <c r="E403" s="611"/>
      <c r="F403" s="611"/>
      <c r="G403" s="611"/>
      <c r="H403" s="611"/>
      <c r="I403" s="611"/>
      <c r="J403" s="612"/>
    </row>
    <row r="404" spans="1:10" ht="12.75" customHeight="1" x14ac:dyDescent="0.2">
      <c r="A404" s="610"/>
      <c r="B404" s="611"/>
      <c r="C404" s="611"/>
      <c r="D404" s="611"/>
      <c r="E404" s="611"/>
      <c r="F404" s="611"/>
      <c r="G404" s="611"/>
      <c r="H404" s="611"/>
      <c r="I404" s="611"/>
      <c r="J404" s="612"/>
    </row>
    <row r="405" spans="1:10" ht="12.75" customHeight="1" x14ac:dyDescent="0.2">
      <c r="A405" s="610"/>
      <c r="B405" s="611"/>
      <c r="C405" s="611"/>
      <c r="D405" s="611"/>
      <c r="E405" s="611"/>
      <c r="F405" s="611"/>
      <c r="G405" s="611"/>
      <c r="H405" s="611"/>
      <c r="I405" s="611"/>
      <c r="J405" s="612"/>
    </row>
    <row r="406" spans="1:10" ht="12.75" customHeight="1" x14ac:dyDescent="0.2">
      <c r="A406" s="610"/>
      <c r="B406" s="611"/>
      <c r="C406" s="611"/>
      <c r="D406" s="611"/>
      <c r="E406" s="611"/>
      <c r="F406" s="611"/>
      <c r="G406" s="611"/>
      <c r="H406" s="611"/>
      <c r="I406" s="611"/>
      <c r="J406" s="612"/>
    </row>
    <row r="407" spans="1:10" ht="12.75" customHeight="1" x14ac:dyDescent="0.2">
      <c r="A407" s="610"/>
      <c r="B407" s="611"/>
      <c r="C407" s="611"/>
      <c r="D407" s="611"/>
      <c r="E407" s="611"/>
      <c r="F407" s="611"/>
      <c r="G407" s="611"/>
      <c r="H407" s="611"/>
      <c r="I407" s="611"/>
      <c r="J407" s="612"/>
    </row>
    <row r="408" spans="1:10" ht="12.75" customHeight="1" x14ac:dyDescent="0.2">
      <c r="A408" s="610"/>
      <c r="B408" s="611"/>
      <c r="C408" s="611"/>
      <c r="D408" s="611"/>
      <c r="E408" s="611"/>
      <c r="F408" s="611"/>
      <c r="G408" s="611"/>
      <c r="H408" s="611"/>
      <c r="I408" s="611"/>
      <c r="J408" s="612"/>
    </row>
    <row r="409" spans="1:10" ht="12.75" customHeight="1" x14ac:dyDescent="0.2">
      <c r="A409" s="610"/>
      <c r="B409" s="611"/>
      <c r="C409" s="611"/>
      <c r="D409" s="611"/>
      <c r="E409" s="611"/>
      <c r="F409" s="611"/>
      <c r="G409" s="611"/>
      <c r="H409" s="611"/>
      <c r="I409" s="611"/>
      <c r="J409" s="612"/>
    </row>
    <row r="410" spans="1:10" ht="12.75" customHeight="1" x14ac:dyDescent="0.2">
      <c r="A410" s="610"/>
      <c r="B410" s="611"/>
      <c r="C410" s="611"/>
      <c r="D410" s="611"/>
      <c r="E410" s="611"/>
      <c r="F410" s="611"/>
      <c r="G410" s="611"/>
      <c r="H410" s="611"/>
      <c r="I410" s="611"/>
      <c r="J410" s="612"/>
    </row>
    <row r="411" spans="1:10" ht="12.75" customHeight="1" x14ac:dyDescent="0.2">
      <c r="A411" s="610"/>
      <c r="B411" s="611"/>
      <c r="C411" s="611"/>
      <c r="D411" s="611"/>
      <c r="E411" s="611"/>
      <c r="F411" s="611"/>
      <c r="G411" s="611"/>
      <c r="H411" s="611"/>
      <c r="I411" s="611"/>
      <c r="J411" s="612"/>
    </row>
    <row r="412" spans="1:10" ht="12.75" customHeight="1" x14ac:dyDescent="0.2">
      <c r="A412" s="610"/>
      <c r="B412" s="611"/>
      <c r="C412" s="611"/>
      <c r="D412" s="611"/>
      <c r="E412" s="611"/>
      <c r="F412" s="611"/>
      <c r="G412" s="611"/>
      <c r="H412" s="611"/>
      <c r="I412" s="611"/>
      <c r="J412" s="612"/>
    </row>
    <row r="413" spans="1:10" ht="12.75" customHeight="1" x14ac:dyDescent="0.2">
      <c r="A413" s="610"/>
      <c r="B413" s="611"/>
      <c r="C413" s="611"/>
      <c r="D413" s="611"/>
      <c r="E413" s="611"/>
      <c r="F413" s="611"/>
      <c r="G413" s="611"/>
      <c r="H413" s="611"/>
      <c r="I413" s="611"/>
      <c r="J413" s="612"/>
    </row>
    <row r="414" spans="1:10" ht="12.75" customHeight="1" x14ac:dyDescent="0.2">
      <c r="A414" s="610"/>
      <c r="B414" s="611"/>
      <c r="C414" s="611"/>
      <c r="D414" s="611"/>
      <c r="E414" s="611"/>
      <c r="F414" s="611"/>
      <c r="G414" s="611"/>
      <c r="H414" s="611"/>
      <c r="I414" s="611"/>
      <c r="J414" s="612"/>
    </row>
    <row r="415" spans="1:10" ht="12.75" customHeight="1" x14ac:dyDescent="0.2">
      <c r="A415" s="610"/>
      <c r="B415" s="611"/>
      <c r="C415" s="611"/>
      <c r="D415" s="611"/>
      <c r="E415" s="611"/>
      <c r="F415" s="611"/>
      <c r="G415" s="611"/>
      <c r="H415" s="611"/>
      <c r="I415" s="611"/>
      <c r="J415" s="612"/>
    </row>
    <row r="416" spans="1:10" ht="12.75" customHeight="1" x14ac:dyDescent="0.2">
      <c r="A416" s="610"/>
      <c r="B416" s="611"/>
      <c r="C416" s="611"/>
      <c r="D416" s="611"/>
      <c r="E416" s="611"/>
      <c r="F416" s="611"/>
      <c r="G416" s="611"/>
      <c r="H416" s="611"/>
      <c r="I416" s="611"/>
      <c r="J416" s="612"/>
    </row>
    <row r="417" spans="1:10" ht="12.75" customHeight="1" x14ac:dyDescent="0.2">
      <c r="A417" s="610"/>
      <c r="B417" s="611"/>
      <c r="C417" s="611"/>
      <c r="D417" s="611"/>
      <c r="E417" s="611"/>
      <c r="F417" s="611"/>
      <c r="G417" s="611"/>
      <c r="H417" s="611"/>
      <c r="I417" s="611"/>
      <c r="J417" s="612"/>
    </row>
    <row r="418" spans="1:10" ht="12.75" customHeight="1" x14ac:dyDescent="0.2">
      <c r="A418" s="610"/>
      <c r="B418" s="611"/>
      <c r="C418" s="611"/>
      <c r="D418" s="611"/>
      <c r="E418" s="611"/>
      <c r="F418" s="611"/>
      <c r="G418" s="611"/>
      <c r="H418" s="611"/>
      <c r="I418" s="611"/>
      <c r="J418" s="612"/>
    </row>
    <row r="419" spans="1:10" ht="12.75" customHeight="1" thickBot="1" x14ac:dyDescent="0.25">
      <c r="A419" s="616"/>
      <c r="B419" s="617"/>
      <c r="C419" s="617"/>
      <c r="D419" s="617"/>
      <c r="E419" s="617"/>
      <c r="F419" s="617"/>
      <c r="G419" s="617"/>
      <c r="H419" s="617"/>
      <c r="I419" s="617"/>
      <c r="J419" s="618"/>
    </row>
    <row r="420" spans="1:10" ht="12.75" customHeight="1" thickTop="1" x14ac:dyDescent="0.2"/>
  </sheetData>
  <sheetProtection password="E686" sheet="1" formatRows="0"/>
  <mergeCells count="53">
    <mergeCell ref="A1:J2"/>
    <mergeCell ref="A3:J5"/>
    <mergeCell ref="A12:J12"/>
    <mergeCell ref="A44:J44"/>
    <mergeCell ref="A45:E45"/>
    <mergeCell ref="A6:J10"/>
    <mergeCell ref="A14:J17"/>
    <mergeCell ref="F45:J45"/>
    <mergeCell ref="A86:J86"/>
    <mergeCell ref="A87:E87"/>
    <mergeCell ref="F87:J87"/>
    <mergeCell ref="A88:J91"/>
    <mergeCell ref="A92:J126"/>
    <mergeCell ref="A170:J170"/>
    <mergeCell ref="A171:E171"/>
    <mergeCell ref="F171:J171"/>
    <mergeCell ref="A172:J175"/>
    <mergeCell ref="A128:J128"/>
    <mergeCell ref="A129:E129"/>
    <mergeCell ref="F129:J129"/>
    <mergeCell ref="A130:J133"/>
    <mergeCell ref="A134:J168"/>
    <mergeCell ref="A381:E381"/>
    <mergeCell ref="F381:J381"/>
    <mergeCell ref="A382:J385"/>
    <mergeCell ref="A386:J419"/>
    <mergeCell ref="A338:J338"/>
    <mergeCell ref="A339:E339"/>
    <mergeCell ref="F339:J339"/>
    <mergeCell ref="A340:J343"/>
    <mergeCell ref="A344:J378"/>
    <mergeCell ref="A380:J380"/>
    <mergeCell ref="A302:J336"/>
    <mergeCell ref="A260:J294"/>
    <mergeCell ref="A218:J252"/>
    <mergeCell ref="A176:J210"/>
    <mergeCell ref="A296:J296"/>
    <mergeCell ref="A297:E297"/>
    <mergeCell ref="F297:J297"/>
    <mergeCell ref="A256:J259"/>
    <mergeCell ref="A214:J217"/>
    <mergeCell ref="A298:J301"/>
    <mergeCell ref="A254:J254"/>
    <mergeCell ref="A255:E255"/>
    <mergeCell ref="F255:J255"/>
    <mergeCell ref="A212:J212"/>
    <mergeCell ref="A213:E213"/>
    <mergeCell ref="F213:J213"/>
    <mergeCell ref="A46:J49"/>
    <mergeCell ref="A50:J84"/>
    <mergeCell ref="A13:E13"/>
    <mergeCell ref="F13:J13"/>
    <mergeCell ref="A18:J42"/>
  </mergeCells>
  <dataValidations disablePrompts="1" count="3">
    <dataValidation type="list" allowBlank="1" showInputMessage="1" showErrorMessage="1" sqref="E18:E42 E50:E84 E386:E419 E344:E378 E302:E336 E260:E294 E218:E252 E176:E210 E134:E168 E92:E126">
      <formula1>program</formula1>
    </dataValidation>
    <dataValidation allowBlank="1" showInputMessage="1" showErrorMessage="1" promptTitle="Total Amount" prompt="Input the total amount of these funds being used to fund this individual's salary and benefits." sqref="F18:F42 F50:F84 F386:F419 F344:F378 F302:F336 F260:F294 F218:F252 F176:F210 F134:F168 F92:F126"/>
    <dataValidation type="textLength" operator="lessThan" allowBlank="1" showInputMessage="1" showErrorMessage="1" errorTitle="Too Much Text" error="Provide a brief description using no more than 100 characters here.  A more full description should be included within the narrative (tab 9)." sqref="G18:J42 G50:J84 G386:J419 G344:J378 G302:J336 G260:J294 G218:J252 G176:J210 G134:J168 G92:J126">
      <formula1>101</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14"/>
  <sheetViews>
    <sheetView topLeftCell="A56" zoomScaleNormal="100" workbookViewId="0">
      <selection activeCell="H25" sqref="H25:K25"/>
    </sheetView>
  </sheetViews>
  <sheetFormatPr defaultColWidth="9.140625" defaultRowHeight="12.75" x14ac:dyDescent="0.2"/>
  <cols>
    <col min="1" max="10" width="15.7109375" style="1" customWidth="1"/>
    <col min="11" max="11" width="20.5703125" style="1" customWidth="1"/>
    <col min="12" max="14" width="9.140625" style="1" hidden="1" customWidth="1"/>
    <col min="15" max="16384" width="9.140625" style="1"/>
  </cols>
  <sheetData>
    <row r="1" spans="1:14" x14ac:dyDescent="0.2">
      <c r="A1" s="775" t="s">
        <v>191</v>
      </c>
      <c r="B1" s="776"/>
      <c r="C1" s="776"/>
      <c r="D1" s="776"/>
      <c r="E1" s="776"/>
      <c r="F1" s="776"/>
      <c r="G1" s="776"/>
      <c r="H1" s="776"/>
      <c r="I1" s="776"/>
      <c r="J1" s="776"/>
      <c r="K1" s="777"/>
    </row>
    <row r="2" spans="1:14" x14ac:dyDescent="0.2">
      <c r="A2" s="778"/>
      <c r="B2" s="447"/>
      <c r="C2" s="447"/>
      <c r="D2" s="447"/>
      <c r="E2" s="447"/>
      <c r="F2" s="447"/>
      <c r="G2" s="447"/>
      <c r="H2" s="447"/>
      <c r="I2" s="447"/>
      <c r="J2" s="447"/>
      <c r="K2" s="779"/>
    </row>
    <row r="3" spans="1:14" ht="12.75" customHeight="1" x14ac:dyDescent="0.2">
      <c r="A3" s="741" t="s">
        <v>509</v>
      </c>
      <c r="B3" s="544"/>
      <c r="C3" s="544"/>
      <c r="D3" s="544"/>
      <c r="E3" s="544"/>
      <c r="F3" s="544"/>
      <c r="G3" s="544"/>
      <c r="H3" s="544"/>
      <c r="I3" s="544"/>
      <c r="J3" s="544"/>
      <c r="K3" s="742"/>
    </row>
    <row r="4" spans="1:14" x14ac:dyDescent="0.2">
      <c r="A4" s="745"/>
      <c r="B4" s="547"/>
      <c r="C4" s="547"/>
      <c r="D4" s="547"/>
      <c r="E4" s="547"/>
      <c r="F4" s="547"/>
      <c r="G4" s="547"/>
      <c r="H4" s="547"/>
      <c r="I4" s="547"/>
      <c r="J4" s="547"/>
      <c r="K4" s="746"/>
    </row>
    <row r="5" spans="1:14" ht="18" customHeight="1" x14ac:dyDescent="0.2">
      <c r="A5" s="676" t="s">
        <v>40</v>
      </c>
      <c r="B5" s="676"/>
      <c r="C5" s="676"/>
      <c r="D5" s="676"/>
      <c r="E5" s="676"/>
      <c r="F5" s="676"/>
      <c r="G5" s="676"/>
      <c r="H5" s="676"/>
      <c r="I5" s="676"/>
      <c r="J5" s="676"/>
      <c r="K5" s="676"/>
    </row>
    <row r="6" spans="1:14" ht="18" customHeight="1" x14ac:dyDescent="0.2">
      <c r="A6" s="676"/>
      <c r="B6" s="676"/>
      <c r="C6" s="676"/>
      <c r="D6" s="676"/>
      <c r="E6" s="676"/>
      <c r="F6" s="676"/>
      <c r="G6" s="676"/>
      <c r="H6" s="676"/>
      <c r="I6" s="676"/>
      <c r="J6" s="676"/>
      <c r="K6" s="676"/>
    </row>
    <row r="7" spans="1:14" ht="15" customHeight="1" x14ac:dyDescent="0.2">
      <c r="A7" s="666" t="s">
        <v>41</v>
      </c>
      <c r="B7" s="655"/>
      <c r="C7" s="662" t="s">
        <v>42</v>
      </c>
      <c r="D7" s="662" t="s">
        <v>140</v>
      </c>
      <c r="E7" s="662" t="s">
        <v>139</v>
      </c>
      <c r="F7" s="678" t="s">
        <v>102</v>
      </c>
      <c r="G7" s="665" t="s">
        <v>103</v>
      </c>
      <c r="H7" s="666" t="s">
        <v>48</v>
      </c>
      <c r="I7" s="654"/>
      <c r="J7" s="654"/>
      <c r="K7" s="655"/>
    </row>
    <row r="8" spans="1:14" ht="15" customHeight="1" x14ac:dyDescent="0.2">
      <c r="A8" s="668"/>
      <c r="B8" s="658"/>
      <c r="C8" s="663"/>
      <c r="D8" s="663"/>
      <c r="E8" s="663"/>
      <c r="F8" s="679"/>
      <c r="G8" s="665"/>
      <c r="H8" s="668"/>
      <c r="I8" s="657"/>
      <c r="J8" s="657"/>
      <c r="K8" s="658"/>
    </row>
    <row r="9" spans="1:14" ht="15" customHeight="1" x14ac:dyDescent="0.2">
      <c r="A9" s="668"/>
      <c r="B9" s="658"/>
      <c r="C9" s="663"/>
      <c r="D9" s="663"/>
      <c r="E9" s="663"/>
      <c r="F9" s="679"/>
      <c r="G9" s="665"/>
      <c r="H9" s="668"/>
      <c r="I9" s="657"/>
      <c r="J9" s="657"/>
      <c r="K9" s="658"/>
    </row>
    <row r="10" spans="1:14" ht="15" customHeight="1" x14ac:dyDescent="0.2">
      <c r="A10" s="668"/>
      <c r="B10" s="658"/>
      <c r="C10" s="663"/>
      <c r="D10" s="663"/>
      <c r="E10" s="663"/>
      <c r="F10" s="679"/>
      <c r="G10" s="665"/>
      <c r="H10" s="668"/>
      <c r="I10" s="657"/>
      <c r="J10" s="657"/>
      <c r="K10" s="658"/>
    </row>
    <row r="11" spans="1:14" ht="15" customHeight="1" x14ac:dyDescent="0.2">
      <c r="A11" s="668"/>
      <c r="B11" s="658"/>
      <c r="C11" s="663"/>
      <c r="D11" s="663"/>
      <c r="E11" s="663"/>
      <c r="F11" s="679"/>
      <c r="G11" s="665"/>
      <c r="H11" s="668"/>
      <c r="I11" s="657"/>
      <c r="J11" s="657"/>
      <c r="K11" s="658"/>
    </row>
    <row r="12" spans="1:14" ht="15" customHeight="1" x14ac:dyDescent="0.2">
      <c r="A12" s="668"/>
      <c r="B12" s="658"/>
      <c r="C12" s="663"/>
      <c r="D12" s="663"/>
      <c r="E12" s="663"/>
      <c r="F12" s="679"/>
      <c r="G12" s="665"/>
      <c r="H12" s="668"/>
      <c r="I12" s="657"/>
      <c r="J12" s="657"/>
      <c r="K12" s="658"/>
    </row>
    <row r="13" spans="1:14" ht="14.25" customHeight="1" x14ac:dyDescent="0.2">
      <c r="A13" s="670"/>
      <c r="B13" s="661"/>
      <c r="C13" s="664"/>
      <c r="D13" s="664"/>
      <c r="E13" s="664"/>
      <c r="F13" s="680"/>
      <c r="G13" s="665"/>
      <c r="H13" s="670"/>
      <c r="I13" s="660"/>
      <c r="J13" s="660"/>
      <c r="K13" s="661"/>
    </row>
    <row r="14" spans="1:14" ht="15" customHeight="1" x14ac:dyDescent="0.2">
      <c r="A14" s="633"/>
      <c r="B14" s="637"/>
      <c r="C14" s="27"/>
      <c r="D14" s="27"/>
      <c r="E14" s="27"/>
      <c r="F14" s="28"/>
      <c r="G14" s="29"/>
      <c r="H14" s="633"/>
      <c r="I14" s="634"/>
      <c r="J14" s="634"/>
      <c r="K14" s="637"/>
      <c r="L14" s="1">
        <f>COUNTBLANK(C14:K14)</f>
        <v>9</v>
      </c>
      <c r="M14" s="1" t="str">
        <f>IF(AND(A14&lt;&gt;"",L14&gt;3),"No","Yes")</f>
        <v>Yes</v>
      </c>
      <c r="N14" s="1" t="str">
        <f>CONCATENATE(D14,E14)</f>
        <v/>
      </c>
    </row>
    <row r="15" spans="1:14" ht="15" customHeight="1" x14ac:dyDescent="0.2">
      <c r="A15" s="633"/>
      <c r="B15" s="637"/>
      <c r="C15" s="27"/>
      <c r="D15" s="27"/>
      <c r="E15" s="27"/>
      <c r="F15" s="28"/>
      <c r="G15" s="29"/>
      <c r="H15" s="633"/>
      <c r="I15" s="634"/>
      <c r="J15" s="634"/>
      <c r="K15" s="637"/>
      <c r="L15" s="1">
        <f t="shared" ref="L15:L38" si="0">COUNTBLANK(C15:K15)</f>
        <v>9</v>
      </c>
      <c r="M15" s="1" t="str">
        <f t="shared" ref="M15:M38" si="1">IF(AND(A15&lt;&gt;"",L15&gt;3),"No","Yes")</f>
        <v>Yes</v>
      </c>
      <c r="N15" s="1" t="str">
        <f t="shared" ref="N15:N38" si="2">CONCATENATE(D15,E15)</f>
        <v/>
      </c>
    </row>
    <row r="16" spans="1:14" ht="15" customHeight="1" x14ac:dyDescent="0.2">
      <c r="A16" s="633"/>
      <c r="B16" s="637"/>
      <c r="C16" s="27"/>
      <c r="D16" s="27"/>
      <c r="E16" s="27"/>
      <c r="F16" s="28"/>
      <c r="G16" s="29"/>
      <c r="H16" s="633"/>
      <c r="I16" s="634"/>
      <c r="J16" s="634"/>
      <c r="K16" s="637"/>
      <c r="L16" s="1">
        <f t="shared" si="0"/>
        <v>9</v>
      </c>
      <c r="M16" s="1" t="str">
        <f t="shared" si="1"/>
        <v>Yes</v>
      </c>
      <c r="N16" s="1" t="str">
        <f t="shared" si="2"/>
        <v/>
      </c>
    </row>
    <row r="17" spans="1:14" ht="15" customHeight="1" x14ac:dyDescent="0.2">
      <c r="A17" s="633"/>
      <c r="B17" s="637"/>
      <c r="C17" s="27"/>
      <c r="D17" s="27"/>
      <c r="E17" s="27"/>
      <c r="F17" s="28"/>
      <c r="G17" s="29"/>
      <c r="H17" s="633"/>
      <c r="I17" s="634"/>
      <c r="J17" s="634"/>
      <c r="K17" s="637"/>
      <c r="L17" s="1">
        <f t="shared" si="0"/>
        <v>9</v>
      </c>
      <c r="M17" s="1" t="str">
        <f t="shared" si="1"/>
        <v>Yes</v>
      </c>
      <c r="N17" s="1" t="str">
        <f t="shared" si="2"/>
        <v/>
      </c>
    </row>
    <row r="18" spans="1:14" ht="15" customHeight="1" x14ac:dyDescent="0.2">
      <c r="A18" s="633"/>
      <c r="B18" s="637"/>
      <c r="C18" s="27"/>
      <c r="D18" s="27"/>
      <c r="E18" s="27"/>
      <c r="F18" s="28"/>
      <c r="G18" s="29"/>
      <c r="H18" s="633"/>
      <c r="I18" s="634"/>
      <c r="J18" s="634"/>
      <c r="K18" s="637"/>
      <c r="L18" s="1">
        <f t="shared" si="0"/>
        <v>9</v>
      </c>
      <c r="M18" s="1" t="str">
        <f t="shared" si="1"/>
        <v>Yes</v>
      </c>
      <c r="N18" s="1" t="str">
        <f t="shared" si="2"/>
        <v/>
      </c>
    </row>
    <row r="19" spans="1:14" ht="15" customHeight="1" x14ac:dyDescent="0.2">
      <c r="A19" s="633"/>
      <c r="B19" s="637"/>
      <c r="C19" s="27"/>
      <c r="D19" s="27"/>
      <c r="E19" s="27"/>
      <c r="F19" s="28"/>
      <c r="G19" s="29"/>
      <c r="H19" s="633"/>
      <c r="I19" s="634"/>
      <c r="J19" s="634"/>
      <c r="K19" s="637"/>
      <c r="L19" s="1">
        <f t="shared" si="0"/>
        <v>9</v>
      </c>
      <c r="M19" s="1" t="str">
        <f t="shared" si="1"/>
        <v>Yes</v>
      </c>
      <c r="N19" s="1" t="str">
        <f t="shared" si="2"/>
        <v/>
      </c>
    </row>
    <row r="20" spans="1:14" ht="15" customHeight="1" x14ac:dyDescent="0.2">
      <c r="A20" s="633"/>
      <c r="B20" s="637"/>
      <c r="C20" s="27"/>
      <c r="D20" s="27"/>
      <c r="E20" s="27"/>
      <c r="F20" s="28"/>
      <c r="G20" s="29"/>
      <c r="H20" s="633"/>
      <c r="I20" s="634"/>
      <c r="J20" s="634"/>
      <c r="K20" s="637"/>
      <c r="L20" s="1">
        <f t="shared" si="0"/>
        <v>9</v>
      </c>
      <c r="M20" s="1" t="str">
        <f t="shared" si="1"/>
        <v>Yes</v>
      </c>
      <c r="N20" s="1" t="str">
        <f t="shared" si="2"/>
        <v/>
      </c>
    </row>
    <row r="21" spans="1:14" ht="15" customHeight="1" x14ac:dyDescent="0.2">
      <c r="A21" s="633"/>
      <c r="B21" s="637"/>
      <c r="C21" s="27"/>
      <c r="D21" s="27"/>
      <c r="E21" s="27"/>
      <c r="F21" s="28"/>
      <c r="G21" s="29"/>
      <c r="H21" s="633"/>
      <c r="I21" s="634"/>
      <c r="J21" s="634"/>
      <c r="K21" s="637"/>
      <c r="L21" s="1">
        <f t="shared" si="0"/>
        <v>9</v>
      </c>
      <c r="M21" s="1" t="str">
        <f t="shared" si="1"/>
        <v>Yes</v>
      </c>
      <c r="N21" s="1" t="str">
        <f t="shared" si="2"/>
        <v/>
      </c>
    </row>
    <row r="22" spans="1:14" ht="15" customHeight="1" x14ac:dyDescent="0.2">
      <c r="A22" s="633"/>
      <c r="B22" s="637"/>
      <c r="C22" s="27"/>
      <c r="D22" s="27"/>
      <c r="E22" s="27"/>
      <c r="F22" s="28"/>
      <c r="G22" s="29"/>
      <c r="H22" s="633"/>
      <c r="I22" s="634"/>
      <c r="J22" s="634"/>
      <c r="K22" s="637"/>
      <c r="L22" s="1">
        <f t="shared" si="0"/>
        <v>9</v>
      </c>
      <c r="M22" s="1" t="str">
        <f t="shared" si="1"/>
        <v>Yes</v>
      </c>
      <c r="N22" s="1" t="str">
        <f t="shared" si="2"/>
        <v/>
      </c>
    </row>
    <row r="23" spans="1:14" ht="15" customHeight="1" x14ac:dyDescent="0.2">
      <c r="A23" s="633"/>
      <c r="B23" s="637"/>
      <c r="C23" s="27"/>
      <c r="D23" s="27"/>
      <c r="E23" s="27"/>
      <c r="F23" s="28"/>
      <c r="G23" s="29"/>
      <c r="H23" s="633"/>
      <c r="I23" s="634"/>
      <c r="J23" s="634"/>
      <c r="K23" s="637"/>
      <c r="L23" s="1">
        <f t="shared" si="0"/>
        <v>9</v>
      </c>
      <c r="M23" s="1" t="str">
        <f t="shared" si="1"/>
        <v>Yes</v>
      </c>
      <c r="N23" s="1" t="str">
        <f t="shared" si="2"/>
        <v/>
      </c>
    </row>
    <row r="24" spans="1:14" ht="15" customHeight="1" x14ac:dyDescent="0.2">
      <c r="A24" s="633"/>
      <c r="B24" s="637"/>
      <c r="C24" s="27"/>
      <c r="D24" s="27"/>
      <c r="E24" s="27"/>
      <c r="F24" s="28"/>
      <c r="G24" s="29"/>
      <c r="H24" s="633"/>
      <c r="I24" s="634"/>
      <c r="J24" s="634"/>
      <c r="K24" s="637"/>
      <c r="L24" s="1">
        <f t="shared" si="0"/>
        <v>9</v>
      </c>
      <c r="M24" s="1" t="str">
        <f t="shared" si="1"/>
        <v>Yes</v>
      </c>
      <c r="N24" s="1" t="str">
        <f t="shared" si="2"/>
        <v/>
      </c>
    </row>
    <row r="25" spans="1:14" ht="15" customHeight="1" x14ac:dyDescent="0.2">
      <c r="A25" s="633"/>
      <c r="B25" s="637"/>
      <c r="C25" s="27"/>
      <c r="D25" s="27"/>
      <c r="E25" s="27"/>
      <c r="F25" s="28"/>
      <c r="G25" s="29"/>
      <c r="H25" s="633"/>
      <c r="I25" s="634"/>
      <c r="J25" s="634"/>
      <c r="K25" s="637"/>
      <c r="L25" s="1">
        <f t="shared" si="0"/>
        <v>9</v>
      </c>
      <c r="M25" s="1" t="str">
        <f t="shared" si="1"/>
        <v>Yes</v>
      </c>
      <c r="N25" s="1" t="str">
        <f t="shared" si="2"/>
        <v/>
      </c>
    </row>
    <row r="26" spans="1:14" ht="15" customHeight="1" x14ac:dyDescent="0.2">
      <c r="A26" s="633"/>
      <c r="B26" s="637"/>
      <c r="C26" s="27"/>
      <c r="D26" s="27"/>
      <c r="E26" s="27"/>
      <c r="F26" s="28"/>
      <c r="G26" s="29"/>
      <c r="H26" s="633"/>
      <c r="I26" s="634"/>
      <c r="J26" s="634"/>
      <c r="K26" s="637"/>
      <c r="L26" s="1">
        <f t="shared" si="0"/>
        <v>9</v>
      </c>
      <c r="M26" s="1" t="str">
        <f t="shared" si="1"/>
        <v>Yes</v>
      </c>
      <c r="N26" s="1" t="str">
        <f t="shared" si="2"/>
        <v/>
      </c>
    </row>
    <row r="27" spans="1:14" ht="15" customHeight="1" x14ac:dyDescent="0.2">
      <c r="A27" s="633"/>
      <c r="B27" s="637"/>
      <c r="C27" s="27"/>
      <c r="D27" s="27"/>
      <c r="E27" s="27"/>
      <c r="F27" s="28"/>
      <c r="G27" s="29"/>
      <c r="H27" s="633"/>
      <c r="I27" s="634"/>
      <c r="J27" s="634"/>
      <c r="K27" s="637"/>
      <c r="L27" s="1">
        <f t="shared" si="0"/>
        <v>9</v>
      </c>
      <c r="M27" s="1" t="str">
        <f t="shared" si="1"/>
        <v>Yes</v>
      </c>
      <c r="N27" s="1" t="str">
        <f t="shared" si="2"/>
        <v/>
      </c>
    </row>
    <row r="28" spans="1:14" ht="15" customHeight="1" x14ac:dyDescent="0.2">
      <c r="A28" s="633"/>
      <c r="B28" s="637"/>
      <c r="C28" s="27"/>
      <c r="D28" s="27"/>
      <c r="E28" s="27"/>
      <c r="F28" s="28"/>
      <c r="G28" s="29"/>
      <c r="H28" s="633"/>
      <c r="I28" s="634"/>
      <c r="J28" s="634"/>
      <c r="K28" s="637"/>
      <c r="L28" s="1">
        <f t="shared" si="0"/>
        <v>9</v>
      </c>
      <c r="M28" s="1" t="str">
        <f t="shared" si="1"/>
        <v>Yes</v>
      </c>
      <c r="N28" s="1" t="str">
        <f t="shared" si="2"/>
        <v/>
      </c>
    </row>
    <row r="29" spans="1:14" ht="15" customHeight="1" x14ac:dyDescent="0.2">
      <c r="A29" s="633"/>
      <c r="B29" s="637"/>
      <c r="C29" s="27"/>
      <c r="D29" s="27"/>
      <c r="E29" s="27"/>
      <c r="F29" s="28"/>
      <c r="G29" s="29"/>
      <c r="H29" s="633"/>
      <c r="I29" s="634"/>
      <c r="J29" s="634"/>
      <c r="K29" s="637"/>
      <c r="L29" s="1">
        <f t="shared" si="0"/>
        <v>9</v>
      </c>
      <c r="M29" s="1" t="str">
        <f t="shared" si="1"/>
        <v>Yes</v>
      </c>
      <c r="N29" s="1" t="str">
        <f t="shared" si="2"/>
        <v/>
      </c>
    </row>
    <row r="30" spans="1:14" ht="15" customHeight="1" x14ac:dyDescent="0.2">
      <c r="A30" s="633"/>
      <c r="B30" s="637"/>
      <c r="C30" s="27"/>
      <c r="D30" s="27"/>
      <c r="E30" s="27"/>
      <c r="F30" s="28"/>
      <c r="G30" s="29"/>
      <c r="H30" s="633"/>
      <c r="I30" s="634"/>
      <c r="J30" s="634"/>
      <c r="K30" s="637"/>
      <c r="L30" s="1">
        <f t="shared" si="0"/>
        <v>9</v>
      </c>
      <c r="M30" s="1" t="str">
        <f t="shared" si="1"/>
        <v>Yes</v>
      </c>
      <c r="N30" s="1" t="str">
        <f t="shared" si="2"/>
        <v/>
      </c>
    </row>
    <row r="31" spans="1:14" ht="15" customHeight="1" x14ac:dyDescent="0.2">
      <c r="A31" s="633"/>
      <c r="B31" s="637"/>
      <c r="C31" s="27"/>
      <c r="D31" s="27"/>
      <c r="E31" s="27"/>
      <c r="F31" s="28"/>
      <c r="G31" s="29"/>
      <c r="H31" s="633"/>
      <c r="I31" s="634"/>
      <c r="J31" s="634"/>
      <c r="K31" s="637"/>
      <c r="L31" s="1">
        <f t="shared" si="0"/>
        <v>9</v>
      </c>
      <c r="M31" s="1" t="str">
        <f t="shared" si="1"/>
        <v>Yes</v>
      </c>
      <c r="N31" s="1" t="str">
        <f t="shared" si="2"/>
        <v/>
      </c>
    </row>
    <row r="32" spans="1:14" ht="15" customHeight="1" x14ac:dyDescent="0.2">
      <c r="A32" s="633"/>
      <c r="B32" s="637"/>
      <c r="C32" s="27"/>
      <c r="D32" s="27"/>
      <c r="E32" s="27"/>
      <c r="F32" s="28"/>
      <c r="G32" s="29"/>
      <c r="H32" s="633"/>
      <c r="I32" s="634"/>
      <c r="J32" s="634"/>
      <c r="K32" s="637"/>
      <c r="L32" s="1">
        <f t="shared" si="0"/>
        <v>9</v>
      </c>
      <c r="M32" s="1" t="str">
        <f t="shared" si="1"/>
        <v>Yes</v>
      </c>
      <c r="N32" s="1" t="str">
        <f t="shared" si="2"/>
        <v/>
      </c>
    </row>
    <row r="33" spans="1:14" ht="15" customHeight="1" x14ac:dyDescent="0.2">
      <c r="A33" s="633"/>
      <c r="B33" s="637"/>
      <c r="C33" s="27"/>
      <c r="D33" s="27"/>
      <c r="E33" s="27"/>
      <c r="F33" s="28"/>
      <c r="G33" s="29"/>
      <c r="H33" s="633"/>
      <c r="I33" s="634"/>
      <c r="J33" s="634"/>
      <c r="K33" s="637"/>
      <c r="L33" s="1">
        <f t="shared" si="0"/>
        <v>9</v>
      </c>
      <c r="M33" s="1" t="str">
        <f t="shared" si="1"/>
        <v>Yes</v>
      </c>
      <c r="N33" s="1" t="str">
        <f t="shared" si="2"/>
        <v/>
      </c>
    </row>
    <row r="34" spans="1:14" ht="15" customHeight="1" x14ac:dyDescent="0.2">
      <c r="A34" s="633"/>
      <c r="B34" s="637"/>
      <c r="C34" s="27"/>
      <c r="D34" s="27"/>
      <c r="E34" s="27"/>
      <c r="F34" s="28"/>
      <c r="G34" s="29"/>
      <c r="H34" s="633"/>
      <c r="I34" s="634"/>
      <c r="J34" s="634"/>
      <c r="K34" s="637"/>
      <c r="L34" s="1">
        <f t="shared" si="0"/>
        <v>9</v>
      </c>
      <c r="M34" s="1" t="str">
        <f t="shared" si="1"/>
        <v>Yes</v>
      </c>
      <c r="N34" s="1" t="str">
        <f t="shared" si="2"/>
        <v/>
      </c>
    </row>
    <row r="35" spans="1:14" ht="15" customHeight="1" x14ac:dyDescent="0.2">
      <c r="A35" s="633"/>
      <c r="B35" s="637"/>
      <c r="C35" s="27"/>
      <c r="D35" s="27"/>
      <c r="E35" s="27"/>
      <c r="F35" s="28"/>
      <c r="G35" s="29"/>
      <c r="H35" s="633"/>
      <c r="I35" s="634"/>
      <c r="J35" s="634"/>
      <c r="K35" s="637"/>
      <c r="L35" s="1">
        <f t="shared" si="0"/>
        <v>9</v>
      </c>
      <c r="M35" s="1" t="str">
        <f t="shared" si="1"/>
        <v>Yes</v>
      </c>
      <c r="N35" s="1" t="str">
        <f t="shared" si="2"/>
        <v/>
      </c>
    </row>
    <row r="36" spans="1:14" ht="15" customHeight="1" x14ac:dyDescent="0.2">
      <c r="A36" s="633"/>
      <c r="B36" s="637"/>
      <c r="C36" s="27"/>
      <c r="D36" s="27"/>
      <c r="E36" s="27"/>
      <c r="F36" s="28"/>
      <c r="G36" s="29"/>
      <c r="H36" s="633"/>
      <c r="I36" s="634"/>
      <c r="J36" s="634"/>
      <c r="K36" s="637"/>
      <c r="L36" s="1">
        <f t="shared" si="0"/>
        <v>9</v>
      </c>
      <c r="M36" s="1" t="str">
        <f t="shared" si="1"/>
        <v>Yes</v>
      </c>
      <c r="N36" s="1" t="str">
        <f t="shared" si="2"/>
        <v/>
      </c>
    </row>
    <row r="37" spans="1:14" ht="15" customHeight="1" x14ac:dyDescent="0.2">
      <c r="A37" s="633"/>
      <c r="B37" s="637"/>
      <c r="C37" s="27"/>
      <c r="D37" s="27"/>
      <c r="E37" s="27"/>
      <c r="F37" s="28"/>
      <c r="G37" s="29"/>
      <c r="H37" s="633"/>
      <c r="I37" s="634"/>
      <c r="J37" s="634"/>
      <c r="K37" s="637"/>
      <c r="L37" s="1">
        <f t="shared" si="0"/>
        <v>9</v>
      </c>
      <c r="M37" s="1" t="str">
        <f t="shared" si="1"/>
        <v>Yes</v>
      </c>
      <c r="N37" s="1" t="str">
        <f t="shared" si="2"/>
        <v/>
      </c>
    </row>
    <row r="38" spans="1:14" ht="15" customHeight="1" x14ac:dyDescent="0.2">
      <c r="A38" s="633"/>
      <c r="B38" s="637"/>
      <c r="C38" s="27"/>
      <c r="D38" s="27"/>
      <c r="E38" s="27"/>
      <c r="F38" s="28"/>
      <c r="G38" s="29"/>
      <c r="H38" s="633"/>
      <c r="I38" s="634"/>
      <c r="J38" s="634"/>
      <c r="K38" s="637"/>
      <c r="L38" s="1">
        <f t="shared" si="0"/>
        <v>9</v>
      </c>
      <c r="M38" s="1" t="str">
        <f t="shared" si="1"/>
        <v>Yes</v>
      </c>
      <c r="N38" s="1" t="str">
        <f t="shared" si="2"/>
        <v/>
      </c>
    </row>
    <row r="39" spans="1:14" ht="15" customHeight="1" x14ac:dyDescent="0.2">
      <c r="A39" s="682" t="s">
        <v>92</v>
      </c>
      <c r="B39" s="682"/>
      <c r="C39" s="682"/>
      <c r="D39" s="682"/>
      <c r="E39" s="34"/>
      <c r="F39" s="32">
        <f>SUM(F14:F38)</f>
        <v>0</v>
      </c>
      <c r="G39" s="683" t="s">
        <v>93</v>
      </c>
      <c r="H39" s="683"/>
      <c r="I39" s="683"/>
      <c r="J39" s="683"/>
      <c r="K39" s="33">
        <f>SUM(G14:G38)</f>
        <v>0</v>
      </c>
      <c r="M39" s="1">
        <f>COUNTIF(M14:M38,"Yes")</f>
        <v>25</v>
      </c>
    </row>
    <row r="40" spans="1:14" ht="15" customHeight="1" x14ac:dyDescent="0.2">
      <c r="A40" s="747"/>
      <c r="B40" s="673"/>
      <c r="C40" s="673"/>
      <c r="D40" s="673"/>
      <c r="E40" s="673"/>
      <c r="F40" s="673"/>
      <c r="G40" s="673"/>
      <c r="H40" s="673"/>
      <c r="I40" s="673"/>
      <c r="J40" s="673"/>
      <c r="K40" s="748"/>
    </row>
    <row r="41" spans="1:14" ht="18" customHeight="1" x14ac:dyDescent="0.2">
      <c r="A41" s="749" t="s">
        <v>44</v>
      </c>
      <c r="B41" s="651"/>
      <c r="C41" s="651"/>
      <c r="D41" s="651"/>
      <c r="E41" s="651"/>
      <c r="F41" s="651"/>
      <c r="G41" s="651"/>
      <c r="H41" s="651"/>
      <c r="I41" s="651"/>
      <c r="J41" s="651"/>
      <c r="K41" s="750"/>
    </row>
    <row r="42" spans="1:14" ht="18" customHeight="1" x14ac:dyDescent="0.2">
      <c r="A42" s="749" t="s">
        <v>479</v>
      </c>
      <c r="B42" s="651"/>
      <c r="C42" s="651"/>
      <c r="D42" s="651"/>
      <c r="E42" s="651"/>
      <c r="F42" s="651"/>
      <c r="G42" s="651"/>
      <c r="H42" s="651"/>
      <c r="I42" s="651"/>
      <c r="J42" s="651"/>
      <c r="K42" s="750"/>
    </row>
    <row r="43" spans="1:14" ht="15" customHeight="1" x14ac:dyDescent="0.2">
      <c r="A43" s="666" t="s">
        <v>49</v>
      </c>
      <c r="B43" s="654"/>
      <c r="C43" s="654"/>
      <c r="D43" s="655"/>
      <c r="E43" s="662" t="s">
        <v>140</v>
      </c>
      <c r="F43" s="662" t="s">
        <v>139</v>
      </c>
      <c r="G43" s="665" t="s">
        <v>104</v>
      </c>
      <c r="H43" s="666" t="s">
        <v>53</v>
      </c>
      <c r="I43" s="654"/>
      <c r="J43" s="654"/>
      <c r="K43" s="655"/>
    </row>
    <row r="44" spans="1:14" ht="15" customHeight="1" x14ac:dyDescent="0.2">
      <c r="A44" s="668"/>
      <c r="B44" s="657"/>
      <c r="C44" s="657"/>
      <c r="D44" s="658"/>
      <c r="E44" s="663"/>
      <c r="F44" s="663"/>
      <c r="G44" s="663"/>
      <c r="H44" s="668"/>
      <c r="I44" s="657"/>
      <c r="J44" s="657"/>
      <c r="K44" s="658"/>
    </row>
    <row r="45" spans="1:14" ht="15" customHeight="1" x14ac:dyDescent="0.2">
      <c r="A45" s="668"/>
      <c r="B45" s="657"/>
      <c r="C45" s="657"/>
      <c r="D45" s="658"/>
      <c r="E45" s="663"/>
      <c r="F45" s="663"/>
      <c r="G45" s="663"/>
      <c r="H45" s="668"/>
      <c r="I45" s="657"/>
      <c r="J45" s="657"/>
      <c r="K45" s="658"/>
    </row>
    <row r="46" spans="1:14" ht="15" customHeight="1" x14ac:dyDescent="0.2">
      <c r="A46" s="668"/>
      <c r="B46" s="657"/>
      <c r="C46" s="657"/>
      <c r="D46" s="658"/>
      <c r="E46" s="663"/>
      <c r="F46" s="663"/>
      <c r="G46" s="663"/>
      <c r="H46" s="668"/>
      <c r="I46" s="657"/>
      <c r="J46" s="657"/>
      <c r="K46" s="658"/>
    </row>
    <row r="47" spans="1:14" ht="15" customHeight="1" x14ac:dyDescent="0.2">
      <c r="A47" s="668"/>
      <c r="B47" s="657"/>
      <c r="C47" s="657"/>
      <c r="D47" s="658"/>
      <c r="E47" s="663"/>
      <c r="F47" s="663"/>
      <c r="G47" s="663"/>
      <c r="H47" s="668"/>
      <c r="I47" s="657"/>
      <c r="J47" s="657"/>
      <c r="K47" s="658"/>
    </row>
    <row r="48" spans="1:14" ht="14.25" customHeight="1" x14ac:dyDescent="0.2">
      <c r="A48" s="670"/>
      <c r="B48" s="660"/>
      <c r="C48" s="660"/>
      <c r="D48" s="661"/>
      <c r="E48" s="664"/>
      <c r="F48" s="664"/>
      <c r="G48" s="664"/>
      <c r="H48" s="670"/>
      <c r="I48" s="660"/>
      <c r="J48" s="660"/>
      <c r="K48" s="661"/>
    </row>
    <row r="49" spans="1:14" ht="15" customHeight="1" x14ac:dyDescent="0.2">
      <c r="A49" s="633"/>
      <c r="B49" s="634"/>
      <c r="C49" s="634"/>
      <c r="D49" s="637"/>
      <c r="E49" s="27"/>
      <c r="F49" s="27"/>
      <c r="G49" s="29"/>
      <c r="H49" s="633"/>
      <c r="I49" s="634"/>
      <c r="J49" s="634"/>
      <c r="K49" s="637"/>
      <c r="L49" s="1">
        <f t="shared" ref="L49:L73" si="3">COUNTBLANK(E49:K49)</f>
        <v>7</v>
      </c>
      <c r="M49" s="1" t="str">
        <f>IF(AND(A49&lt;&gt;"",L49&gt;3),"No","Yes")</f>
        <v>Yes</v>
      </c>
      <c r="N49" s="1" t="str">
        <f>CONCATENATE(E49,F49)</f>
        <v/>
      </c>
    </row>
    <row r="50" spans="1:14" ht="15" customHeight="1" x14ac:dyDescent="0.2">
      <c r="A50" s="633"/>
      <c r="B50" s="634"/>
      <c r="C50" s="634"/>
      <c r="D50" s="637"/>
      <c r="E50" s="27"/>
      <c r="F50" s="27"/>
      <c r="G50" s="29"/>
      <c r="H50" s="633"/>
      <c r="I50" s="634"/>
      <c r="J50" s="634"/>
      <c r="K50" s="637"/>
      <c r="L50" s="1">
        <f t="shared" si="3"/>
        <v>7</v>
      </c>
      <c r="M50" s="1" t="str">
        <f t="shared" ref="M50:M73" si="4">IF(AND(A50&lt;&gt;"",L50&gt;3),"No","Yes")</f>
        <v>Yes</v>
      </c>
      <c r="N50" s="1" t="str">
        <f t="shared" ref="N50:N73" si="5">CONCATENATE(E50,F50)</f>
        <v/>
      </c>
    </row>
    <row r="51" spans="1:14" ht="15" customHeight="1" x14ac:dyDescent="0.2">
      <c r="A51" s="633"/>
      <c r="B51" s="634"/>
      <c r="C51" s="634"/>
      <c r="D51" s="637"/>
      <c r="E51" s="27"/>
      <c r="F51" s="27"/>
      <c r="G51" s="29"/>
      <c r="H51" s="633"/>
      <c r="I51" s="634"/>
      <c r="J51" s="634"/>
      <c r="K51" s="637"/>
      <c r="L51" s="1">
        <f t="shared" si="3"/>
        <v>7</v>
      </c>
      <c r="M51" s="1" t="str">
        <f t="shared" si="4"/>
        <v>Yes</v>
      </c>
      <c r="N51" s="1" t="str">
        <f t="shared" si="5"/>
        <v/>
      </c>
    </row>
    <row r="52" spans="1:14" ht="15" customHeight="1" x14ac:dyDescent="0.2">
      <c r="A52" s="633"/>
      <c r="B52" s="634"/>
      <c r="C52" s="634"/>
      <c r="D52" s="637"/>
      <c r="E52" s="27"/>
      <c r="F52" s="27"/>
      <c r="G52" s="29"/>
      <c r="H52" s="633"/>
      <c r="I52" s="634"/>
      <c r="J52" s="634"/>
      <c r="K52" s="637"/>
      <c r="L52" s="1">
        <f t="shared" si="3"/>
        <v>7</v>
      </c>
      <c r="M52" s="1" t="str">
        <f t="shared" si="4"/>
        <v>Yes</v>
      </c>
      <c r="N52" s="1" t="str">
        <f t="shared" si="5"/>
        <v/>
      </c>
    </row>
    <row r="53" spans="1:14" ht="15" customHeight="1" x14ac:dyDescent="0.2">
      <c r="A53" s="633"/>
      <c r="B53" s="634"/>
      <c r="C53" s="634"/>
      <c r="D53" s="637"/>
      <c r="E53" s="27"/>
      <c r="F53" s="27"/>
      <c r="G53" s="29"/>
      <c r="H53" s="633"/>
      <c r="I53" s="634"/>
      <c r="J53" s="634"/>
      <c r="K53" s="637"/>
      <c r="L53" s="1">
        <f t="shared" si="3"/>
        <v>7</v>
      </c>
      <c r="M53" s="1" t="str">
        <f t="shared" si="4"/>
        <v>Yes</v>
      </c>
      <c r="N53" s="1" t="str">
        <f t="shared" si="5"/>
        <v/>
      </c>
    </row>
    <row r="54" spans="1:14" ht="15" customHeight="1" x14ac:dyDescent="0.2">
      <c r="A54" s="633"/>
      <c r="B54" s="634"/>
      <c r="C54" s="634"/>
      <c r="D54" s="637"/>
      <c r="E54" s="27"/>
      <c r="F54" s="27"/>
      <c r="G54" s="29"/>
      <c r="H54" s="633"/>
      <c r="I54" s="634"/>
      <c r="J54" s="634"/>
      <c r="K54" s="637"/>
      <c r="L54" s="1">
        <f t="shared" si="3"/>
        <v>7</v>
      </c>
      <c r="M54" s="1" t="str">
        <f t="shared" si="4"/>
        <v>Yes</v>
      </c>
      <c r="N54" s="1" t="str">
        <f t="shared" si="5"/>
        <v/>
      </c>
    </row>
    <row r="55" spans="1:14" ht="15" customHeight="1" x14ac:dyDescent="0.2">
      <c r="A55" s="633"/>
      <c r="B55" s="634"/>
      <c r="C55" s="634"/>
      <c r="D55" s="637"/>
      <c r="E55" s="27"/>
      <c r="F55" s="27"/>
      <c r="G55" s="29"/>
      <c r="H55" s="633"/>
      <c r="I55" s="634"/>
      <c r="J55" s="634"/>
      <c r="K55" s="637"/>
      <c r="L55" s="1">
        <f t="shared" si="3"/>
        <v>7</v>
      </c>
      <c r="M55" s="1" t="str">
        <f t="shared" si="4"/>
        <v>Yes</v>
      </c>
      <c r="N55" s="1" t="str">
        <f t="shared" si="5"/>
        <v/>
      </c>
    </row>
    <row r="56" spans="1:14" ht="15" customHeight="1" x14ac:dyDescent="0.2">
      <c r="A56" s="633"/>
      <c r="B56" s="634"/>
      <c r="C56" s="634"/>
      <c r="D56" s="637"/>
      <c r="E56" s="27"/>
      <c r="F56" s="27"/>
      <c r="G56" s="29"/>
      <c r="H56" s="633"/>
      <c r="I56" s="634"/>
      <c r="J56" s="634"/>
      <c r="K56" s="637"/>
      <c r="L56" s="1">
        <f t="shared" si="3"/>
        <v>7</v>
      </c>
      <c r="M56" s="1" t="str">
        <f t="shared" si="4"/>
        <v>Yes</v>
      </c>
      <c r="N56" s="1" t="str">
        <f t="shared" si="5"/>
        <v/>
      </c>
    </row>
    <row r="57" spans="1:14" ht="15" customHeight="1" x14ac:dyDescent="0.2">
      <c r="A57" s="633"/>
      <c r="B57" s="634"/>
      <c r="C57" s="634"/>
      <c r="D57" s="637"/>
      <c r="E57" s="27"/>
      <c r="F57" s="27"/>
      <c r="G57" s="29"/>
      <c r="H57" s="633"/>
      <c r="I57" s="634"/>
      <c r="J57" s="634"/>
      <c r="K57" s="637"/>
      <c r="L57" s="1">
        <f t="shared" si="3"/>
        <v>7</v>
      </c>
      <c r="M57" s="1" t="str">
        <f t="shared" si="4"/>
        <v>Yes</v>
      </c>
      <c r="N57" s="1" t="str">
        <f t="shared" si="5"/>
        <v/>
      </c>
    </row>
    <row r="58" spans="1:14" ht="15" customHeight="1" x14ac:dyDescent="0.2">
      <c r="A58" s="633"/>
      <c r="B58" s="634"/>
      <c r="C58" s="634"/>
      <c r="D58" s="637"/>
      <c r="E58" s="27"/>
      <c r="F58" s="27"/>
      <c r="G58" s="29"/>
      <c r="H58" s="633"/>
      <c r="I58" s="634"/>
      <c r="J58" s="634"/>
      <c r="K58" s="637"/>
      <c r="L58" s="1">
        <f t="shared" si="3"/>
        <v>7</v>
      </c>
      <c r="M58" s="1" t="str">
        <f t="shared" si="4"/>
        <v>Yes</v>
      </c>
      <c r="N58" s="1" t="str">
        <f t="shared" si="5"/>
        <v/>
      </c>
    </row>
    <row r="59" spans="1:14" ht="15" customHeight="1" x14ac:dyDescent="0.2">
      <c r="A59" s="633"/>
      <c r="B59" s="634"/>
      <c r="C59" s="634"/>
      <c r="D59" s="637"/>
      <c r="E59" s="27"/>
      <c r="F59" s="27"/>
      <c r="G59" s="29"/>
      <c r="H59" s="633"/>
      <c r="I59" s="634"/>
      <c r="J59" s="634"/>
      <c r="K59" s="637"/>
      <c r="L59" s="1">
        <f t="shared" si="3"/>
        <v>7</v>
      </c>
      <c r="M59" s="1" t="str">
        <f t="shared" si="4"/>
        <v>Yes</v>
      </c>
      <c r="N59" s="1" t="str">
        <f t="shared" si="5"/>
        <v/>
      </c>
    </row>
    <row r="60" spans="1:14" ht="15" customHeight="1" x14ac:dyDescent="0.2">
      <c r="A60" s="633"/>
      <c r="B60" s="634"/>
      <c r="C60" s="634"/>
      <c r="D60" s="637"/>
      <c r="E60" s="27"/>
      <c r="F60" s="27"/>
      <c r="G60" s="29"/>
      <c r="H60" s="633"/>
      <c r="I60" s="634"/>
      <c r="J60" s="634"/>
      <c r="K60" s="637"/>
      <c r="L60" s="1">
        <f t="shared" si="3"/>
        <v>7</v>
      </c>
      <c r="M60" s="1" t="str">
        <f t="shared" si="4"/>
        <v>Yes</v>
      </c>
      <c r="N60" s="1" t="str">
        <f t="shared" si="5"/>
        <v/>
      </c>
    </row>
    <row r="61" spans="1:14" ht="15" customHeight="1" x14ac:dyDescent="0.2">
      <c r="A61" s="633"/>
      <c r="B61" s="634"/>
      <c r="C61" s="634"/>
      <c r="D61" s="637"/>
      <c r="E61" s="27"/>
      <c r="F61" s="27"/>
      <c r="G61" s="29"/>
      <c r="H61" s="633"/>
      <c r="I61" s="634"/>
      <c r="J61" s="634"/>
      <c r="K61" s="637"/>
      <c r="L61" s="1">
        <f t="shared" si="3"/>
        <v>7</v>
      </c>
      <c r="M61" s="1" t="str">
        <f t="shared" si="4"/>
        <v>Yes</v>
      </c>
      <c r="N61" s="1" t="str">
        <f t="shared" si="5"/>
        <v/>
      </c>
    </row>
    <row r="62" spans="1:14" ht="15" customHeight="1" x14ac:dyDescent="0.2">
      <c r="A62" s="633"/>
      <c r="B62" s="634"/>
      <c r="C62" s="634"/>
      <c r="D62" s="637"/>
      <c r="E62" s="27"/>
      <c r="F62" s="27"/>
      <c r="G62" s="29"/>
      <c r="H62" s="633"/>
      <c r="I62" s="634"/>
      <c r="J62" s="634"/>
      <c r="K62" s="637"/>
      <c r="L62" s="1">
        <f t="shared" si="3"/>
        <v>7</v>
      </c>
      <c r="M62" s="1" t="str">
        <f t="shared" si="4"/>
        <v>Yes</v>
      </c>
      <c r="N62" s="1" t="str">
        <f t="shared" si="5"/>
        <v/>
      </c>
    </row>
    <row r="63" spans="1:14" ht="15" customHeight="1" x14ac:dyDescent="0.2">
      <c r="A63" s="633"/>
      <c r="B63" s="634"/>
      <c r="C63" s="634"/>
      <c r="D63" s="637"/>
      <c r="E63" s="27"/>
      <c r="F63" s="27"/>
      <c r="G63" s="29"/>
      <c r="H63" s="633"/>
      <c r="I63" s="634"/>
      <c r="J63" s="634"/>
      <c r="K63" s="637"/>
      <c r="L63" s="1">
        <f t="shared" si="3"/>
        <v>7</v>
      </c>
      <c r="M63" s="1" t="str">
        <f t="shared" si="4"/>
        <v>Yes</v>
      </c>
      <c r="N63" s="1" t="str">
        <f t="shared" si="5"/>
        <v/>
      </c>
    </row>
    <row r="64" spans="1:14" ht="15" customHeight="1" x14ac:dyDescent="0.2">
      <c r="A64" s="633"/>
      <c r="B64" s="634"/>
      <c r="C64" s="634"/>
      <c r="D64" s="637"/>
      <c r="E64" s="27"/>
      <c r="F64" s="27"/>
      <c r="G64" s="29"/>
      <c r="H64" s="633"/>
      <c r="I64" s="634"/>
      <c r="J64" s="634"/>
      <c r="K64" s="637"/>
      <c r="L64" s="1">
        <f t="shared" si="3"/>
        <v>7</v>
      </c>
      <c r="M64" s="1" t="str">
        <f t="shared" si="4"/>
        <v>Yes</v>
      </c>
      <c r="N64" s="1" t="str">
        <f t="shared" si="5"/>
        <v/>
      </c>
    </row>
    <row r="65" spans="1:14" ht="15" customHeight="1" x14ac:dyDescent="0.2">
      <c r="A65" s="633"/>
      <c r="B65" s="634"/>
      <c r="C65" s="634"/>
      <c r="D65" s="637"/>
      <c r="E65" s="27"/>
      <c r="F65" s="27"/>
      <c r="G65" s="29"/>
      <c r="H65" s="633"/>
      <c r="I65" s="634"/>
      <c r="J65" s="634"/>
      <c r="K65" s="637"/>
      <c r="L65" s="1">
        <f t="shared" si="3"/>
        <v>7</v>
      </c>
      <c r="M65" s="1" t="str">
        <f t="shared" si="4"/>
        <v>Yes</v>
      </c>
      <c r="N65" s="1" t="str">
        <f t="shared" si="5"/>
        <v/>
      </c>
    </row>
    <row r="66" spans="1:14" ht="15" customHeight="1" x14ac:dyDescent="0.2">
      <c r="A66" s="633"/>
      <c r="B66" s="634"/>
      <c r="C66" s="634"/>
      <c r="D66" s="637"/>
      <c r="E66" s="27"/>
      <c r="F66" s="27"/>
      <c r="G66" s="29"/>
      <c r="H66" s="633"/>
      <c r="I66" s="634"/>
      <c r="J66" s="634"/>
      <c r="K66" s="637"/>
      <c r="L66" s="1">
        <f t="shared" si="3"/>
        <v>7</v>
      </c>
      <c r="M66" s="1" t="str">
        <f t="shared" si="4"/>
        <v>Yes</v>
      </c>
      <c r="N66" s="1" t="str">
        <f t="shared" si="5"/>
        <v/>
      </c>
    </row>
    <row r="67" spans="1:14" ht="15" customHeight="1" x14ac:dyDescent="0.2">
      <c r="A67" s="633"/>
      <c r="B67" s="634"/>
      <c r="C67" s="634"/>
      <c r="D67" s="637"/>
      <c r="E67" s="27"/>
      <c r="F67" s="27"/>
      <c r="G67" s="29"/>
      <c r="H67" s="633"/>
      <c r="I67" s="634"/>
      <c r="J67" s="634"/>
      <c r="K67" s="637"/>
      <c r="L67" s="1">
        <f t="shared" si="3"/>
        <v>7</v>
      </c>
      <c r="M67" s="1" t="str">
        <f t="shared" si="4"/>
        <v>Yes</v>
      </c>
      <c r="N67" s="1" t="str">
        <f t="shared" si="5"/>
        <v/>
      </c>
    </row>
    <row r="68" spans="1:14" ht="15" customHeight="1" x14ac:dyDescent="0.2">
      <c r="A68" s="633"/>
      <c r="B68" s="634"/>
      <c r="C68" s="634"/>
      <c r="D68" s="637"/>
      <c r="E68" s="27"/>
      <c r="F68" s="27"/>
      <c r="G68" s="29"/>
      <c r="H68" s="633"/>
      <c r="I68" s="634"/>
      <c r="J68" s="634"/>
      <c r="K68" s="637"/>
      <c r="L68" s="1">
        <f t="shared" si="3"/>
        <v>7</v>
      </c>
      <c r="M68" s="1" t="str">
        <f t="shared" si="4"/>
        <v>Yes</v>
      </c>
      <c r="N68" s="1" t="str">
        <f t="shared" si="5"/>
        <v/>
      </c>
    </row>
    <row r="69" spans="1:14" ht="15" customHeight="1" x14ac:dyDescent="0.2">
      <c r="A69" s="633"/>
      <c r="B69" s="634"/>
      <c r="C69" s="634"/>
      <c r="D69" s="637"/>
      <c r="E69" s="27"/>
      <c r="F69" s="27"/>
      <c r="G69" s="29"/>
      <c r="H69" s="633"/>
      <c r="I69" s="634"/>
      <c r="J69" s="634"/>
      <c r="K69" s="637"/>
      <c r="L69" s="1">
        <f t="shared" si="3"/>
        <v>7</v>
      </c>
      <c r="M69" s="1" t="str">
        <f t="shared" si="4"/>
        <v>Yes</v>
      </c>
      <c r="N69" s="1" t="str">
        <f t="shared" si="5"/>
        <v/>
      </c>
    </row>
    <row r="70" spans="1:14" ht="15" customHeight="1" x14ac:dyDescent="0.2">
      <c r="A70" s="633"/>
      <c r="B70" s="634"/>
      <c r="C70" s="634"/>
      <c r="D70" s="637"/>
      <c r="E70" s="27"/>
      <c r="F70" s="27"/>
      <c r="G70" s="29"/>
      <c r="H70" s="633"/>
      <c r="I70" s="634"/>
      <c r="J70" s="634"/>
      <c r="K70" s="637"/>
      <c r="L70" s="1">
        <f t="shared" si="3"/>
        <v>7</v>
      </c>
      <c r="M70" s="1" t="str">
        <f t="shared" si="4"/>
        <v>Yes</v>
      </c>
      <c r="N70" s="1" t="str">
        <f t="shared" si="5"/>
        <v/>
      </c>
    </row>
    <row r="71" spans="1:14" ht="15" customHeight="1" x14ac:dyDescent="0.2">
      <c r="A71" s="633"/>
      <c r="B71" s="634"/>
      <c r="C71" s="634"/>
      <c r="D71" s="637"/>
      <c r="E71" s="27"/>
      <c r="F71" s="27"/>
      <c r="G71" s="29"/>
      <c r="H71" s="633"/>
      <c r="I71" s="634"/>
      <c r="J71" s="634"/>
      <c r="K71" s="637"/>
      <c r="L71" s="1">
        <f t="shared" si="3"/>
        <v>7</v>
      </c>
      <c r="M71" s="1" t="str">
        <f t="shared" si="4"/>
        <v>Yes</v>
      </c>
      <c r="N71" s="1" t="str">
        <f t="shared" si="5"/>
        <v/>
      </c>
    </row>
    <row r="72" spans="1:14" ht="15" customHeight="1" x14ac:dyDescent="0.2">
      <c r="A72" s="633"/>
      <c r="B72" s="634"/>
      <c r="C72" s="634"/>
      <c r="D72" s="637"/>
      <c r="E72" s="27"/>
      <c r="F72" s="27"/>
      <c r="G72" s="29"/>
      <c r="H72" s="633"/>
      <c r="I72" s="634"/>
      <c r="J72" s="634"/>
      <c r="K72" s="637"/>
      <c r="L72" s="1">
        <f t="shared" si="3"/>
        <v>7</v>
      </c>
      <c r="M72" s="1" t="str">
        <f t="shared" si="4"/>
        <v>Yes</v>
      </c>
      <c r="N72" s="1" t="str">
        <f t="shared" si="5"/>
        <v/>
      </c>
    </row>
    <row r="73" spans="1:14" ht="15" customHeight="1" x14ac:dyDescent="0.2">
      <c r="A73" s="633"/>
      <c r="B73" s="634"/>
      <c r="C73" s="634"/>
      <c r="D73" s="637"/>
      <c r="E73" s="27"/>
      <c r="F73" s="27"/>
      <c r="G73" s="29"/>
      <c r="H73" s="633"/>
      <c r="I73" s="634"/>
      <c r="J73" s="634"/>
      <c r="K73" s="637"/>
      <c r="L73" s="1">
        <f t="shared" si="3"/>
        <v>7</v>
      </c>
      <c r="M73" s="1" t="str">
        <f t="shared" si="4"/>
        <v>Yes</v>
      </c>
      <c r="N73" s="1" t="str">
        <f t="shared" si="5"/>
        <v/>
      </c>
    </row>
    <row r="74" spans="1:14" ht="15" customHeight="1" x14ac:dyDescent="0.2">
      <c r="A74" s="751" t="s">
        <v>91</v>
      </c>
      <c r="B74" s="645"/>
      <c r="C74" s="645"/>
      <c r="D74" s="645"/>
      <c r="E74" s="645"/>
      <c r="F74" s="646"/>
      <c r="G74" s="647">
        <f>SUM(G49:G73)</f>
        <v>0</v>
      </c>
      <c r="H74" s="648"/>
      <c r="I74" s="648"/>
      <c r="J74" s="648"/>
      <c r="K74" s="752"/>
      <c r="M74" s="1">
        <f>COUNTIF(M49:M73,"Yes")</f>
        <v>25</v>
      </c>
    </row>
    <row r="75" spans="1:14" ht="15" customHeight="1" x14ac:dyDescent="0.2">
      <c r="A75" s="747"/>
      <c r="B75" s="673"/>
      <c r="C75" s="673"/>
      <c r="D75" s="673"/>
      <c r="E75" s="673"/>
      <c r="F75" s="673"/>
      <c r="G75" s="673"/>
      <c r="H75" s="673"/>
      <c r="I75" s="673"/>
      <c r="J75" s="673"/>
      <c r="K75" s="748"/>
    </row>
    <row r="76" spans="1:14" ht="18" customHeight="1" x14ac:dyDescent="0.2">
      <c r="A76" s="749" t="s">
        <v>45</v>
      </c>
      <c r="B76" s="651"/>
      <c r="C76" s="651"/>
      <c r="D76" s="651"/>
      <c r="E76" s="651"/>
      <c r="F76" s="651"/>
      <c r="G76" s="651"/>
      <c r="H76" s="651"/>
      <c r="I76" s="651"/>
      <c r="J76" s="651"/>
      <c r="K76" s="750"/>
    </row>
    <row r="77" spans="1:14" ht="18" customHeight="1" x14ac:dyDescent="0.2">
      <c r="A77" s="749" t="s">
        <v>479</v>
      </c>
      <c r="B77" s="651"/>
      <c r="C77" s="651"/>
      <c r="D77" s="651"/>
      <c r="E77" s="651"/>
      <c r="F77" s="651"/>
      <c r="G77" s="651"/>
      <c r="H77" s="651"/>
      <c r="I77" s="651"/>
      <c r="J77" s="651"/>
      <c r="K77" s="750"/>
    </row>
    <row r="78" spans="1:14" ht="15" customHeight="1" x14ac:dyDescent="0.2">
      <c r="A78" s="666" t="s">
        <v>49</v>
      </c>
      <c r="B78" s="654"/>
      <c r="C78" s="654"/>
      <c r="D78" s="655"/>
      <c r="E78" s="662" t="s">
        <v>140</v>
      </c>
      <c r="F78" s="662" t="s">
        <v>139</v>
      </c>
      <c r="G78" s="665" t="s">
        <v>104</v>
      </c>
      <c r="H78" s="666" t="s">
        <v>53</v>
      </c>
      <c r="I78" s="684"/>
      <c r="J78" s="684"/>
      <c r="K78" s="753"/>
    </row>
    <row r="79" spans="1:14" ht="15" customHeight="1" x14ac:dyDescent="0.2">
      <c r="A79" s="668"/>
      <c r="B79" s="657"/>
      <c r="C79" s="657"/>
      <c r="D79" s="658"/>
      <c r="E79" s="663"/>
      <c r="F79" s="663"/>
      <c r="G79" s="663"/>
      <c r="H79" s="686"/>
      <c r="I79" s="754"/>
      <c r="J79" s="754"/>
      <c r="K79" s="755"/>
    </row>
    <row r="80" spans="1:14" ht="15" customHeight="1" x14ac:dyDescent="0.2">
      <c r="A80" s="668"/>
      <c r="B80" s="657"/>
      <c r="C80" s="657"/>
      <c r="D80" s="658"/>
      <c r="E80" s="663"/>
      <c r="F80" s="663"/>
      <c r="G80" s="663"/>
      <c r="H80" s="686"/>
      <c r="I80" s="754"/>
      <c r="J80" s="754"/>
      <c r="K80" s="755"/>
    </row>
    <row r="81" spans="1:14" ht="15" customHeight="1" x14ac:dyDescent="0.2">
      <c r="A81" s="668"/>
      <c r="B81" s="657"/>
      <c r="C81" s="657"/>
      <c r="D81" s="658"/>
      <c r="E81" s="663"/>
      <c r="F81" s="663"/>
      <c r="G81" s="663"/>
      <c r="H81" s="686"/>
      <c r="I81" s="754"/>
      <c r="J81" s="754"/>
      <c r="K81" s="755"/>
    </row>
    <row r="82" spans="1:14" ht="15" customHeight="1" x14ac:dyDescent="0.2">
      <c r="A82" s="668"/>
      <c r="B82" s="657"/>
      <c r="C82" s="657"/>
      <c r="D82" s="658"/>
      <c r="E82" s="663"/>
      <c r="F82" s="663"/>
      <c r="G82" s="663"/>
      <c r="H82" s="686"/>
      <c r="I82" s="754"/>
      <c r="J82" s="754"/>
      <c r="K82" s="755"/>
    </row>
    <row r="83" spans="1:14" ht="14.25" customHeight="1" x14ac:dyDescent="0.2">
      <c r="A83" s="670"/>
      <c r="B83" s="660"/>
      <c r="C83" s="660"/>
      <c r="D83" s="661"/>
      <c r="E83" s="664"/>
      <c r="F83" s="664"/>
      <c r="G83" s="664"/>
      <c r="H83" s="689"/>
      <c r="I83" s="690"/>
      <c r="J83" s="690"/>
      <c r="K83" s="756"/>
    </row>
    <row r="84" spans="1:14" ht="15" customHeight="1" x14ac:dyDescent="0.2">
      <c r="A84" s="633"/>
      <c r="B84" s="634"/>
      <c r="C84" s="634"/>
      <c r="D84" s="637"/>
      <c r="E84" s="27"/>
      <c r="F84" s="27"/>
      <c r="G84" s="29"/>
      <c r="H84" s="633"/>
      <c r="I84" s="692"/>
      <c r="J84" s="692"/>
      <c r="K84" s="757"/>
      <c r="L84" s="1">
        <f t="shared" ref="L84:L108" si="6">COUNTBLANK(E84:K84)</f>
        <v>7</v>
      </c>
      <c r="M84" s="1" t="str">
        <f>IF(AND(A84&lt;&gt;"",L84&gt;3),"No","Yes")</f>
        <v>Yes</v>
      </c>
      <c r="N84" s="1" t="str">
        <f t="shared" ref="N84:N108" si="7">CONCATENATE(E84,F84)</f>
        <v/>
      </c>
    </row>
    <row r="85" spans="1:14" ht="15" customHeight="1" x14ac:dyDescent="0.2">
      <c r="A85" s="633"/>
      <c r="B85" s="634"/>
      <c r="C85" s="634"/>
      <c r="D85" s="637"/>
      <c r="E85" s="27"/>
      <c r="F85" s="27"/>
      <c r="G85" s="29"/>
      <c r="H85" s="633"/>
      <c r="I85" s="634"/>
      <c r="J85" s="634"/>
      <c r="K85" s="637"/>
      <c r="L85" s="1">
        <f t="shared" si="6"/>
        <v>7</v>
      </c>
      <c r="M85" s="1" t="str">
        <f t="shared" ref="M85:M108" si="8">IF(AND(A85&lt;&gt;"",L85&gt;3),"No","Yes")</f>
        <v>Yes</v>
      </c>
      <c r="N85" s="1" t="str">
        <f t="shared" si="7"/>
        <v/>
      </c>
    </row>
    <row r="86" spans="1:14" ht="15" customHeight="1" x14ac:dyDescent="0.2">
      <c r="A86" s="633"/>
      <c r="B86" s="634"/>
      <c r="C86" s="634"/>
      <c r="D86" s="637"/>
      <c r="E86" s="27"/>
      <c r="F86" s="27"/>
      <c r="G86" s="29"/>
      <c r="H86" s="633"/>
      <c r="I86" s="634"/>
      <c r="J86" s="634"/>
      <c r="K86" s="637"/>
      <c r="L86" s="1">
        <f t="shared" si="6"/>
        <v>7</v>
      </c>
      <c r="M86" s="1" t="str">
        <f t="shared" si="8"/>
        <v>Yes</v>
      </c>
      <c r="N86" s="1" t="str">
        <f t="shared" si="7"/>
        <v/>
      </c>
    </row>
    <row r="87" spans="1:14" ht="15" customHeight="1" x14ac:dyDescent="0.2">
      <c r="A87" s="633"/>
      <c r="B87" s="634"/>
      <c r="C87" s="634"/>
      <c r="D87" s="637"/>
      <c r="E87" s="27"/>
      <c r="F87" s="27"/>
      <c r="G87" s="29"/>
      <c r="H87" s="633"/>
      <c r="I87" s="634"/>
      <c r="J87" s="634"/>
      <c r="K87" s="637"/>
      <c r="L87" s="1">
        <f t="shared" si="6"/>
        <v>7</v>
      </c>
      <c r="M87" s="1" t="str">
        <f t="shared" si="8"/>
        <v>Yes</v>
      </c>
      <c r="N87" s="1" t="str">
        <f t="shared" si="7"/>
        <v/>
      </c>
    </row>
    <row r="88" spans="1:14" ht="15" customHeight="1" x14ac:dyDescent="0.2">
      <c r="A88" s="633"/>
      <c r="B88" s="634"/>
      <c r="C88" s="634"/>
      <c r="D88" s="637"/>
      <c r="E88" s="27"/>
      <c r="F88" s="27"/>
      <c r="G88" s="29"/>
      <c r="H88" s="633"/>
      <c r="I88" s="634"/>
      <c r="J88" s="634"/>
      <c r="K88" s="637"/>
      <c r="L88" s="1">
        <f t="shared" si="6"/>
        <v>7</v>
      </c>
      <c r="M88" s="1" t="str">
        <f t="shared" si="8"/>
        <v>Yes</v>
      </c>
      <c r="N88" s="1" t="str">
        <f t="shared" si="7"/>
        <v/>
      </c>
    </row>
    <row r="89" spans="1:14" ht="15" customHeight="1" x14ac:dyDescent="0.2">
      <c r="A89" s="633"/>
      <c r="B89" s="634"/>
      <c r="C89" s="634"/>
      <c r="D89" s="637"/>
      <c r="E89" s="27"/>
      <c r="F89" s="27"/>
      <c r="G89" s="29"/>
      <c r="H89" s="633"/>
      <c r="I89" s="634"/>
      <c r="J89" s="634"/>
      <c r="K89" s="637"/>
      <c r="L89" s="1">
        <f t="shared" si="6"/>
        <v>7</v>
      </c>
      <c r="M89" s="1" t="str">
        <f t="shared" si="8"/>
        <v>Yes</v>
      </c>
      <c r="N89" s="1" t="str">
        <f t="shared" si="7"/>
        <v/>
      </c>
    </row>
    <row r="90" spans="1:14" ht="15" customHeight="1" x14ac:dyDescent="0.2">
      <c r="A90" s="633"/>
      <c r="B90" s="634"/>
      <c r="C90" s="634"/>
      <c r="D90" s="637"/>
      <c r="E90" s="27"/>
      <c r="F90" s="27"/>
      <c r="G90" s="29"/>
      <c r="H90" s="633"/>
      <c r="I90" s="634"/>
      <c r="J90" s="634"/>
      <c r="K90" s="637"/>
      <c r="L90" s="1">
        <f t="shared" si="6"/>
        <v>7</v>
      </c>
      <c r="M90" s="1" t="str">
        <f t="shared" si="8"/>
        <v>Yes</v>
      </c>
      <c r="N90" s="1" t="str">
        <f t="shared" si="7"/>
        <v/>
      </c>
    </row>
    <row r="91" spans="1:14" ht="15" customHeight="1" x14ac:dyDescent="0.2">
      <c r="A91" s="633"/>
      <c r="B91" s="634"/>
      <c r="C91" s="634"/>
      <c r="D91" s="637"/>
      <c r="E91" s="27"/>
      <c r="F91" s="27"/>
      <c r="G91" s="29"/>
      <c r="H91" s="633"/>
      <c r="I91" s="634"/>
      <c r="J91" s="634"/>
      <c r="K91" s="637"/>
      <c r="L91" s="1">
        <f t="shared" si="6"/>
        <v>7</v>
      </c>
      <c r="M91" s="1" t="str">
        <f t="shared" si="8"/>
        <v>Yes</v>
      </c>
      <c r="N91" s="1" t="str">
        <f t="shared" si="7"/>
        <v/>
      </c>
    </row>
    <row r="92" spans="1:14" ht="15" customHeight="1" x14ac:dyDescent="0.2">
      <c r="A92" s="633"/>
      <c r="B92" s="634"/>
      <c r="C92" s="634"/>
      <c r="D92" s="637"/>
      <c r="E92" s="27"/>
      <c r="F92" s="27"/>
      <c r="G92" s="29"/>
      <c r="H92" s="633"/>
      <c r="I92" s="634"/>
      <c r="J92" s="634"/>
      <c r="K92" s="637"/>
      <c r="L92" s="1">
        <f t="shared" si="6"/>
        <v>7</v>
      </c>
      <c r="M92" s="1" t="str">
        <f t="shared" si="8"/>
        <v>Yes</v>
      </c>
      <c r="N92" s="1" t="str">
        <f t="shared" si="7"/>
        <v/>
      </c>
    </row>
    <row r="93" spans="1:14" ht="15" customHeight="1" x14ac:dyDescent="0.2">
      <c r="A93" s="633"/>
      <c r="B93" s="634"/>
      <c r="C93" s="634"/>
      <c r="D93" s="637"/>
      <c r="E93" s="27"/>
      <c r="F93" s="27"/>
      <c r="G93" s="29"/>
      <c r="H93" s="633"/>
      <c r="I93" s="634"/>
      <c r="J93" s="634"/>
      <c r="K93" s="637"/>
      <c r="L93" s="1">
        <f t="shared" si="6"/>
        <v>7</v>
      </c>
      <c r="M93" s="1" t="str">
        <f t="shared" si="8"/>
        <v>Yes</v>
      </c>
      <c r="N93" s="1" t="str">
        <f t="shared" si="7"/>
        <v/>
      </c>
    </row>
    <row r="94" spans="1:14" ht="15" customHeight="1" x14ac:dyDescent="0.2">
      <c r="A94" s="633"/>
      <c r="B94" s="634"/>
      <c r="C94" s="634"/>
      <c r="D94" s="637"/>
      <c r="E94" s="27"/>
      <c r="F94" s="27"/>
      <c r="G94" s="29"/>
      <c r="H94" s="633"/>
      <c r="I94" s="634"/>
      <c r="J94" s="634"/>
      <c r="K94" s="637"/>
      <c r="L94" s="1">
        <f t="shared" si="6"/>
        <v>7</v>
      </c>
      <c r="M94" s="1" t="str">
        <f t="shared" si="8"/>
        <v>Yes</v>
      </c>
      <c r="N94" s="1" t="str">
        <f t="shared" si="7"/>
        <v/>
      </c>
    </row>
    <row r="95" spans="1:14" ht="15" customHeight="1" x14ac:dyDescent="0.2">
      <c r="A95" s="633"/>
      <c r="B95" s="634"/>
      <c r="C95" s="634"/>
      <c r="D95" s="637"/>
      <c r="E95" s="27"/>
      <c r="F95" s="27"/>
      <c r="G95" s="29"/>
      <c r="H95" s="633"/>
      <c r="I95" s="634"/>
      <c r="J95" s="634"/>
      <c r="K95" s="637"/>
      <c r="L95" s="1">
        <f t="shared" si="6"/>
        <v>7</v>
      </c>
      <c r="M95" s="1" t="str">
        <f t="shared" si="8"/>
        <v>Yes</v>
      </c>
      <c r="N95" s="1" t="str">
        <f t="shared" si="7"/>
        <v/>
      </c>
    </row>
    <row r="96" spans="1:14" ht="15" customHeight="1" x14ac:dyDescent="0.2">
      <c r="A96" s="633"/>
      <c r="B96" s="634"/>
      <c r="C96" s="634"/>
      <c r="D96" s="637"/>
      <c r="E96" s="27"/>
      <c r="F96" s="27"/>
      <c r="G96" s="29"/>
      <c r="H96" s="633"/>
      <c r="I96" s="634"/>
      <c r="J96" s="634"/>
      <c r="K96" s="637"/>
      <c r="L96" s="1">
        <f t="shared" si="6"/>
        <v>7</v>
      </c>
      <c r="M96" s="1" t="str">
        <f t="shared" si="8"/>
        <v>Yes</v>
      </c>
      <c r="N96" s="1" t="str">
        <f t="shared" si="7"/>
        <v/>
      </c>
    </row>
    <row r="97" spans="1:14" ht="15" customHeight="1" x14ac:dyDescent="0.2">
      <c r="A97" s="633"/>
      <c r="B97" s="634"/>
      <c r="C97" s="634"/>
      <c r="D97" s="637"/>
      <c r="E97" s="27"/>
      <c r="F97" s="27"/>
      <c r="G97" s="29"/>
      <c r="H97" s="633"/>
      <c r="I97" s="634"/>
      <c r="J97" s="634"/>
      <c r="K97" s="637"/>
      <c r="L97" s="1">
        <f t="shared" si="6"/>
        <v>7</v>
      </c>
      <c r="M97" s="1" t="str">
        <f t="shared" si="8"/>
        <v>Yes</v>
      </c>
      <c r="N97" s="1" t="str">
        <f t="shared" si="7"/>
        <v/>
      </c>
    </row>
    <row r="98" spans="1:14" ht="15" customHeight="1" x14ac:dyDescent="0.2">
      <c r="A98" s="633"/>
      <c r="B98" s="634"/>
      <c r="C98" s="634"/>
      <c r="D98" s="637"/>
      <c r="E98" s="27"/>
      <c r="F98" s="27"/>
      <c r="G98" s="29"/>
      <c r="H98" s="633"/>
      <c r="I98" s="634"/>
      <c r="J98" s="634"/>
      <c r="K98" s="637"/>
      <c r="L98" s="1">
        <f t="shared" si="6"/>
        <v>7</v>
      </c>
      <c r="M98" s="1" t="str">
        <f t="shared" si="8"/>
        <v>Yes</v>
      </c>
      <c r="N98" s="1" t="str">
        <f t="shared" si="7"/>
        <v/>
      </c>
    </row>
    <row r="99" spans="1:14" ht="15" customHeight="1" x14ac:dyDescent="0.2">
      <c r="A99" s="633"/>
      <c r="B99" s="634"/>
      <c r="C99" s="634"/>
      <c r="D99" s="637"/>
      <c r="E99" s="27"/>
      <c r="F99" s="27"/>
      <c r="G99" s="29"/>
      <c r="H99" s="633"/>
      <c r="I99" s="634"/>
      <c r="J99" s="634"/>
      <c r="K99" s="637"/>
      <c r="L99" s="1">
        <f t="shared" si="6"/>
        <v>7</v>
      </c>
      <c r="M99" s="1" t="str">
        <f t="shared" si="8"/>
        <v>Yes</v>
      </c>
      <c r="N99" s="1" t="str">
        <f t="shared" si="7"/>
        <v/>
      </c>
    </row>
    <row r="100" spans="1:14" ht="15" customHeight="1" x14ac:dyDescent="0.2">
      <c r="A100" s="633"/>
      <c r="B100" s="634"/>
      <c r="C100" s="634"/>
      <c r="D100" s="637"/>
      <c r="E100" s="27"/>
      <c r="F100" s="27"/>
      <c r="G100" s="29"/>
      <c r="H100" s="633"/>
      <c r="I100" s="634"/>
      <c r="J100" s="634"/>
      <c r="K100" s="637"/>
      <c r="L100" s="1">
        <f t="shared" si="6"/>
        <v>7</v>
      </c>
      <c r="M100" s="1" t="str">
        <f t="shared" si="8"/>
        <v>Yes</v>
      </c>
      <c r="N100" s="1" t="str">
        <f t="shared" si="7"/>
        <v/>
      </c>
    </row>
    <row r="101" spans="1:14" ht="15" customHeight="1" x14ac:dyDescent="0.2">
      <c r="A101" s="633"/>
      <c r="B101" s="634"/>
      <c r="C101" s="634"/>
      <c r="D101" s="637"/>
      <c r="E101" s="27"/>
      <c r="F101" s="27"/>
      <c r="G101" s="29"/>
      <c r="H101" s="633"/>
      <c r="I101" s="634"/>
      <c r="J101" s="634"/>
      <c r="K101" s="637"/>
      <c r="L101" s="1">
        <f t="shared" si="6"/>
        <v>7</v>
      </c>
      <c r="M101" s="1" t="str">
        <f t="shared" si="8"/>
        <v>Yes</v>
      </c>
      <c r="N101" s="1" t="str">
        <f t="shared" si="7"/>
        <v/>
      </c>
    </row>
    <row r="102" spans="1:14" ht="15" customHeight="1" x14ac:dyDescent="0.2">
      <c r="A102" s="633"/>
      <c r="B102" s="634"/>
      <c r="C102" s="634"/>
      <c r="D102" s="637"/>
      <c r="E102" s="27"/>
      <c r="F102" s="27"/>
      <c r="G102" s="29"/>
      <c r="H102" s="633"/>
      <c r="I102" s="634"/>
      <c r="J102" s="634"/>
      <c r="K102" s="637"/>
      <c r="L102" s="1">
        <f t="shared" si="6"/>
        <v>7</v>
      </c>
      <c r="M102" s="1" t="str">
        <f t="shared" si="8"/>
        <v>Yes</v>
      </c>
      <c r="N102" s="1" t="str">
        <f t="shared" si="7"/>
        <v/>
      </c>
    </row>
    <row r="103" spans="1:14" ht="15" customHeight="1" x14ac:dyDescent="0.2">
      <c r="A103" s="633"/>
      <c r="B103" s="634"/>
      <c r="C103" s="634"/>
      <c r="D103" s="637"/>
      <c r="E103" s="27"/>
      <c r="F103" s="27"/>
      <c r="G103" s="29"/>
      <c r="H103" s="633"/>
      <c r="I103" s="634"/>
      <c r="J103" s="634"/>
      <c r="K103" s="637"/>
      <c r="L103" s="1">
        <f t="shared" si="6"/>
        <v>7</v>
      </c>
      <c r="M103" s="1" t="str">
        <f t="shared" si="8"/>
        <v>Yes</v>
      </c>
      <c r="N103" s="1" t="str">
        <f t="shared" si="7"/>
        <v/>
      </c>
    </row>
    <row r="104" spans="1:14" ht="15" customHeight="1" x14ac:dyDescent="0.2">
      <c r="A104" s="633"/>
      <c r="B104" s="634"/>
      <c r="C104" s="634"/>
      <c r="D104" s="637"/>
      <c r="E104" s="27"/>
      <c r="F104" s="27"/>
      <c r="G104" s="29"/>
      <c r="H104" s="633"/>
      <c r="I104" s="634"/>
      <c r="J104" s="634"/>
      <c r="K104" s="637"/>
      <c r="L104" s="1">
        <f t="shared" si="6"/>
        <v>7</v>
      </c>
      <c r="M104" s="1" t="str">
        <f t="shared" si="8"/>
        <v>Yes</v>
      </c>
      <c r="N104" s="1" t="str">
        <f t="shared" si="7"/>
        <v/>
      </c>
    </row>
    <row r="105" spans="1:14" ht="15" customHeight="1" x14ac:dyDescent="0.2">
      <c r="A105" s="633"/>
      <c r="B105" s="634"/>
      <c r="C105" s="634"/>
      <c r="D105" s="637"/>
      <c r="E105" s="27"/>
      <c r="F105" s="27"/>
      <c r="G105" s="29"/>
      <c r="H105" s="633"/>
      <c r="I105" s="634"/>
      <c r="J105" s="634"/>
      <c r="K105" s="637"/>
      <c r="L105" s="1">
        <f t="shared" si="6"/>
        <v>7</v>
      </c>
      <c r="M105" s="1" t="str">
        <f t="shared" si="8"/>
        <v>Yes</v>
      </c>
      <c r="N105" s="1" t="str">
        <f t="shared" si="7"/>
        <v/>
      </c>
    </row>
    <row r="106" spans="1:14" ht="15" customHeight="1" x14ac:dyDescent="0.2">
      <c r="A106" s="633"/>
      <c r="B106" s="634"/>
      <c r="C106" s="634"/>
      <c r="D106" s="637"/>
      <c r="E106" s="27"/>
      <c r="F106" s="27"/>
      <c r="G106" s="29"/>
      <c r="H106" s="633"/>
      <c r="I106" s="634"/>
      <c r="J106" s="634"/>
      <c r="K106" s="637"/>
      <c r="L106" s="1">
        <f t="shared" si="6"/>
        <v>7</v>
      </c>
      <c r="M106" s="1" t="str">
        <f t="shared" si="8"/>
        <v>Yes</v>
      </c>
      <c r="N106" s="1" t="str">
        <f t="shared" si="7"/>
        <v/>
      </c>
    </row>
    <row r="107" spans="1:14" ht="15" customHeight="1" x14ac:dyDescent="0.2">
      <c r="A107" s="633"/>
      <c r="B107" s="634"/>
      <c r="C107" s="634"/>
      <c r="D107" s="637"/>
      <c r="E107" s="27"/>
      <c r="F107" s="27"/>
      <c r="G107" s="29"/>
      <c r="H107" s="633"/>
      <c r="I107" s="634"/>
      <c r="J107" s="634"/>
      <c r="K107" s="637"/>
      <c r="L107" s="1">
        <f t="shared" si="6"/>
        <v>7</v>
      </c>
      <c r="M107" s="1" t="str">
        <f t="shared" si="8"/>
        <v>Yes</v>
      </c>
      <c r="N107" s="1" t="str">
        <f t="shared" si="7"/>
        <v/>
      </c>
    </row>
    <row r="108" spans="1:14" ht="15" customHeight="1" x14ac:dyDescent="0.2">
      <c r="A108" s="633"/>
      <c r="B108" s="634"/>
      <c r="C108" s="634"/>
      <c r="D108" s="637"/>
      <c r="E108" s="27"/>
      <c r="F108" s="27"/>
      <c r="G108" s="29"/>
      <c r="H108" s="633"/>
      <c r="I108" s="634"/>
      <c r="J108" s="634"/>
      <c r="K108" s="637"/>
      <c r="L108" s="1">
        <f t="shared" si="6"/>
        <v>7</v>
      </c>
      <c r="M108" s="1" t="str">
        <f t="shared" si="8"/>
        <v>Yes</v>
      </c>
      <c r="N108" s="1" t="str">
        <f t="shared" si="7"/>
        <v/>
      </c>
    </row>
    <row r="109" spans="1:14" ht="15" customHeight="1" x14ac:dyDescent="0.2">
      <c r="A109" s="751" t="s">
        <v>96</v>
      </c>
      <c r="B109" s="645"/>
      <c r="C109" s="645"/>
      <c r="D109" s="645"/>
      <c r="E109" s="645"/>
      <c r="F109" s="646"/>
      <c r="G109" s="647">
        <f>SUM(G84:G108)</f>
        <v>0</v>
      </c>
      <c r="H109" s="648"/>
      <c r="I109" s="648"/>
      <c r="J109" s="648"/>
      <c r="K109" s="752"/>
      <c r="M109" s="1">
        <f>COUNTIF(M84:M108,"Yes")</f>
        <v>25</v>
      </c>
    </row>
    <row r="110" spans="1:14" ht="15" customHeight="1" x14ac:dyDescent="0.2">
      <c r="A110" s="747"/>
      <c r="B110" s="673"/>
      <c r="C110" s="673"/>
      <c r="D110" s="673"/>
      <c r="E110" s="673"/>
      <c r="F110" s="673"/>
      <c r="G110" s="673"/>
      <c r="H110" s="673"/>
      <c r="I110" s="673"/>
      <c r="J110" s="673"/>
      <c r="K110" s="748"/>
    </row>
    <row r="111" spans="1:14" ht="18" customHeight="1" x14ac:dyDescent="0.2">
      <c r="A111" s="749" t="s">
        <v>97</v>
      </c>
      <c r="B111" s="651"/>
      <c r="C111" s="651"/>
      <c r="D111" s="651"/>
      <c r="E111" s="651"/>
      <c r="F111" s="651"/>
      <c r="G111" s="651"/>
      <c r="H111" s="651"/>
      <c r="I111" s="651"/>
      <c r="J111" s="651"/>
      <c r="K111" s="750"/>
    </row>
    <row r="112" spans="1:14" ht="18" customHeight="1" x14ac:dyDescent="0.2">
      <c r="A112" s="749" t="s">
        <v>479</v>
      </c>
      <c r="B112" s="651"/>
      <c r="C112" s="651"/>
      <c r="D112" s="651"/>
      <c r="E112" s="651"/>
      <c r="F112" s="651"/>
      <c r="G112" s="651"/>
      <c r="H112" s="651"/>
      <c r="I112" s="651"/>
      <c r="J112" s="651"/>
      <c r="K112" s="750"/>
    </row>
    <row r="113" spans="1:14" ht="15" customHeight="1" x14ac:dyDescent="0.2">
      <c r="A113" s="666" t="s">
        <v>49</v>
      </c>
      <c r="B113" s="654"/>
      <c r="C113" s="654"/>
      <c r="D113" s="655"/>
      <c r="E113" s="662" t="s">
        <v>140</v>
      </c>
      <c r="F113" s="662" t="s">
        <v>139</v>
      </c>
      <c r="G113" s="665" t="s">
        <v>104</v>
      </c>
      <c r="H113" s="666" t="s">
        <v>53</v>
      </c>
      <c r="I113" s="654"/>
      <c r="J113" s="654"/>
      <c r="K113" s="655"/>
    </row>
    <row r="114" spans="1:14" ht="15" customHeight="1" x14ac:dyDescent="0.2">
      <c r="A114" s="668"/>
      <c r="B114" s="657"/>
      <c r="C114" s="657"/>
      <c r="D114" s="658"/>
      <c r="E114" s="663"/>
      <c r="F114" s="663"/>
      <c r="G114" s="663"/>
      <c r="H114" s="668"/>
      <c r="I114" s="657"/>
      <c r="J114" s="657"/>
      <c r="K114" s="658"/>
    </row>
    <row r="115" spans="1:14" ht="15" customHeight="1" x14ac:dyDescent="0.2">
      <c r="A115" s="668"/>
      <c r="B115" s="657"/>
      <c r="C115" s="657"/>
      <c r="D115" s="658"/>
      <c r="E115" s="663"/>
      <c r="F115" s="663"/>
      <c r="G115" s="663"/>
      <c r="H115" s="668"/>
      <c r="I115" s="657"/>
      <c r="J115" s="657"/>
      <c r="K115" s="658"/>
    </row>
    <row r="116" spans="1:14" ht="15" customHeight="1" x14ac:dyDescent="0.2">
      <c r="A116" s="668"/>
      <c r="B116" s="657"/>
      <c r="C116" s="657"/>
      <c r="D116" s="658"/>
      <c r="E116" s="663"/>
      <c r="F116" s="663"/>
      <c r="G116" s="663"/>
      <c r="H116" s="668"/>
      <c r="I116" s="657"/>
      <c r="J116" s="657"/>
      <c r="K116" s="658"/>
    </row>
    <row r="117" spans="1:14" ht="15" customHeight="1" x14ac:dyDescent="0.2">
      <c r="A117" s="668"/>
      <c r="B117" s="657"/>
      <c r="C117" s="657"/>
      <c r="D117" s="658"/>
      <c r="E117" s="663"/>
      <c r="F117" s="663"/>
      <c r="G117" s="663"/>
      <c r="H117" s="668"/>
      <c r="I117" s="657"/>
      <c r="J117" s="657"/>
      <c r="K117" s="658"/>
    </row>
    <row r="118" spans="1:14" ht="14.25" customHeight="1" x14ac:dyDescent="0.2">
      <c r="A118" s="670"/>
      <c r="B118" s="660"/>
      <c r="C118" s="660"/>
      <c r="D118" s="661"/>
      <c r="E118" s="664"/>
      <c r="F118" s="664"/>
      <c r="G118" s="664"/>
      <c r="H118" s="670"/>
      <c r="I118" s="660"/>
      <c r="J118" s="660"/>
      <c r="K118" s="661"/>
    </row>
    <row r="119" spans="1:14" ht="15" customHeight="1" x14ac:dyDescent="0.2">
      <c r="A119" s="633"/>
      <c r="B119" s="634"/>
      <c r="C119" s="634"/>
      <c r="D119" s="637"/>
      <c r="E119" s="27"/>
      <c r="F119" s="27"/>
      <c r="G119" s="29"/>
      <c r="H119" s="633"/>
      <c r="I119" s="634"/>
      <c r="J119" s="634"/>
      <c r="K119" s="637"/>
      <c r="L119" s="1">
        <f t="shared" ref="L119:L143" si="9">COUNTBLANK(E119:K119)</f>
        <v>7</v>
      </c>
      <c r="M119" s="1" t="str">
        <f>IF(AND(A119&lt;&gt;"",L119&gt;3),"No","Yes")</f>
        <v>Yes</v>
      </c>
      <c r="N119" s="1" t="str">
        <f t="shared" ref="N119:N143" si="10">CONCATENATE(E119,F119)</f>
        <v/>
      </c>
    </row>
    <row r="120" spans="1:14" ht="15" customHeight="1" x14ac:dyDescent="0.2">
      <c r="A120" s="633"/>
      <c r="B120" s="634"/>
      <c r="C120" s="634"/>
      <c r="D120" s="637"/>
      <c r="E120" s="27"/>
      <c r="F120" s="27"/>
      <c r="G120" s="29"/>
      <c r="H120" s="633"/>
      <c r="I120" s="634"/>
      <c r="J120" s="634"/>
      <c r="K120" s="637"/>
      <c r="L120" s="1">
        <f t="shared" si="9"/>
        <v>7</v>
      </c>
      <c r="M120" s="1" t="str">
        <f t="shared" ref="M120:M143" si="11">IF(AND(A120&lt;&gt;"",L120&gt;3),"No","Yes")</f>
        <v>Yes</v>
      </c>
      <c r="N120" s="1" t="str">
        <f t="shared" si="10"/>
        <v/>
      </c>
    </row>
    <row r="121" spans="1:14" ht="15" customHeight="1" x14ac:dyDescent="0.2">
      <c r="A121" s="633"/>
      <c r="B121" s="634"/>
      <c r="C121" s="634"/>
      <c r="D121" s="637"/>
      <c r="E121" s="27"/>
      <c r="F121" s="27"/>
      <c r="G121" s="29"/>
      <c r="H121" s="633"/>
      <c r="I121" s="634"/>
      <c r="J121" s="634"/>
      <c r="K121" s="637"/>
      <c r="L121" s="1">
        <f t="shared" si="9"/>
        <v>7</v>
      </c>
      <c r="M121" s="1" t="str">
        <f t="shared" si="11"/>
        <v>Yes</v>
      </c>
      <c r="N121" s="1" t="str">
        <f t="shared" si="10"/>
        <v/>
      </c>
    </row>
    <row r="122" spans="1:14" ht="15" customHeight="1" x14ac:dyDescent="0.2">
      <c r="A122" s="633"/>
      <c r="B122" s="634"/>
      <c r="C122" s="634"/>
      <c r="D122" s="637"/>
      <c r="E122" s="27"/>
      <c r="F122" s="27"/>
      <c r="G122" s="29"/>
      <c r="H122" s="633"/>
      <c r="I122" s="634"/>
      <c r="J122" s="634"/>
      <c r="K122" s="637"/>
      <c r="L122" s="1">
        <f t="shared" si="9"/>
        <v>7</v>
      </c>
      <c r="M122" s="1" t="str">
        <f t="shared" si="11"/>
        <v>Yes</v>
      </c>
      <c r="N122" s="1" t="str">
        <f t="shared" si="10"/>
        <v/>
      </c>
    </row>
    <row r="123" spans="1:14" ht="15" customHeight="1" x14ac:dyDescent="0.2">
      <c r="A123" s="633"/>
      <c r="B123" s="634"/>
      <c r="C123" s="634"/>
      <c r="D123" s="637"/>
      <c r="E123" s="27"/>
      <c r="F123" s="27"/>
      <c r="G123" s="29"/>
      <c r="H123" s="633"/>
      <c r="I123" s="634"/>
      <c r="J123" s="634"/>
      <c r="K123" s="637"/>
      <c r="L123" s="1">
        <f t="shared" si="9"/>
        <v>7</v>
      </c>
      <c r="M123" s="1" t="str">
        <f t="shared" si="11"/>
        <v>Yes</v>
      </c>
      <c r="N123" s="1" t="str">
        <f t="shared" si="10"/>
        <v/>
      </c>
    </row>
    <row r="124" spans="1:14" ht="15" customHeight="1" x14ac:dyDescent="0.2">
      <c r="A124" s="633"/>
      <c r="B124" s="634"/>
      <c r="C124" s="634"/>
      <c r="D124" s="637"/>
      <c r="E124" s="27"/>
      <c r="F124" s="27"/>
      <c r="G124" s="29"/>
      <c r="H124" s="633"/>
      <c r="I124" s="634"/>
      <c r="J124" s="634"/>
      <c r="K124" s="637"/>
      <c r="L124" s="1">
        <f t="shared" si="9"/>
        <v>7</v>
      </c>
      <c r="M124" s="1" t="str">
        <f t="shared" si="11"/>
        <v>Yes</v>
      </c>
      <c r="N124" s="1" t="str">
        <f t="shared" si="10"/>
        <v/>
      </c>
    </row>
    <row r="125" spans="1:14" ht="15" customHeight="1" x14ac:dyDescent="0.2">
      <c r="A125" s="633"/>
      <c r="B125" s="634"/>
      <c r="C125" s="634"/>
      <c r="D125" s="637"/>
      <c r="E125" s="27"/>
      <c r="F125" s="27"/>
      <c r="G125" s="29"/>
      <c r="H125" s="633"/>
      <c r="I125" s="634"/>
      <c r="J125" s="634"/>
      <c r="K125" s="637"/>
      <c r="L125" s="1">
        <f t="shared" si="9"/>
        <v>7</v>
      </c>
      <c r="M125" s="1" t="str">
        <f t="shared" si="11"/>
        <v>Yes</v>
      </c>
      <c r="N125" s="1" t="str">
        <f t="shared" si="10"/>
        <v/>
      </c>
    </row>
    <row r="126" spans="1:14" ht="15" customHeight="1" x14ac:dyDescent="0.2">
      <c r="A126" s="633"/>
      <c r="B126" s="634"/>
      <c r="C126" s="634"/>
      <c r="D126" s="637"/>
      <c r="E126" s="27"/>
      <c r="F126" s="27"/>
      <c r="G126" s="29"/>
      <c r="H126" s="633"/>
      <c r="I126" s="634"/>
      <c r="J126" s="634"/>
      <c r="K126" s="637"/>
      <c r="L126" s="1">
        <f t="shared" si="9"/>
        <v>7</v>
      </c>
      <c r="M126" s="1" t="str">
        <f t="shared" si="11"/>
        <v>Yes</v>
      </c>
      <c r="N126" s="1" t="str">
        <f t="shared" si="10"/>
        <v/>
      </c>
    </row>
    <row r="127" spans="1:14" ht="15" customHeight="1" x14ac:dyDescent="0.2">
      <c r="A127" s="633"/>
      <c r="B127" s="634"/>
      <c r="C127" s="634"/>
      <c r="D127" s="637"/>
      <c r="E127" s="27"/>
      <c r="F127" s="27"/>
      <c r="G127" s="29"/>
      <c r="H127" s="633"/>
      <c r="I127" s="634"/>
      <c r="J127" s="634"/>
      <c r="K127" s="637"/>
      <c r="L127" s="1">
        <f t="shared" si="9"/>
        <v>7</v>
      </c>
      <c r="M127" s="1" t="str">
        <f t="shared" si="11"/>
        <v>Yes</v>
      </c>
      <c r="N127" s="1" t="str">
        <f t="shared" si="10"/>
        <v/>
      </c>
    </row>
    <row r="128" spans="1:14" ht="15" customHeight="1" x14ac:dyDescent="0.2">
      <c r="A128" s="633"/>
      <c r="B128" s="634"/>
      <c r="C128" s="634"/>
      <c r="D128" s="637"/>
      <c r="E128" s="27"/>
      <c r="F128" s="27"/>
      <c r="G128" s="29"/>
      <c r="H128" s="633"/>
      <c r="I128" s="634"/>
      <c r="J128" s="634"/>
      <c r="K128" s="637"/>
      <c r="L128" s="1">
        <f t="shared" si="9"/>
        <v>7</v>
      </c>
      <c r="M128" s="1" t="str">
        <f t="shared" si="11"/>
        <v>Yes</v>
      </c>
      <c r="N128" s="1" t="str">
        <f t="shared" si="10"/>
        <v/>
      </c>
    </row>
    <row r="129" spans="1:14" ht="15" customHeight="1" x14ac:dyDescent="0.2">
      <c r="A129" s="633"/>
      <c r="B129" s="634"/>
      <c r="C129" s="634"/>
      <c r="D129" s="637"/>
      <c r="E129" s="27"/>
      <c r="F129" s="27"/>
      <c r="G129" s="29"/>
      <c r="H129" s="633"/>
      <c r="I129" s="634"/>
      <c r="J129" s="634"/>
      <c r="K129" s="637"/>
      <c r="L129" s="1">
        <f t="shared" si="9"/>
        <v>7</v>
      </c>
      <c r="M129" s="1" t="str">
        <f t="shared" si="11"/>
        <v>Yes</v>
      </c>
      <c r="N129" s="1" t="str">
        <f t="shared" si="10"/>
        <v/>
      </c>
    </row>
    <row r="130" spans="1:14" ht="15" customHeight="1" x14ac:dyDescent="0.2">
      <c r="A130" s="633"/>
      <c r="B130" s="634"/>
      <c r="C130" s="634"/>
      <c r="D130" s="637"/>
      <c r="E130" s="27"/>
      <c r="F130" s="27"/>
      <c r="G130" s="29"/>
      <c r="H130" s="633"/>
      <c r="I130" s="634"/>
      <c r="J130" s="634"/>
      <c r="K130" s="637"/>
      <c r="L130" s="1">
        <f t="shared" si="9"/>
        <v>7</v>
      </c>
      <c r="M130" s="1" t="str">
        <f t="shared" si="11"/>
        <v>Yes</v>
      </c>
      <c r="N130" s="1" t="str">
        <f t="shared" si="10"/>
        <v/>
      </c>
    </row>
    <row r="131" spans="1:14" ht="15" customHeight="1" x14ac:dyDescent="0.2">
      <c r="A131" s="633"/>
      <c r="B131" s="634"/>
      <c r="C131" s="634"/>
      <c r="D131" s="637"/>
      <c r="E131" s="27"/>
      <c r="F131" s="27"/>
      <c r="G131" s="29"/>
      <c r="H131" s="633"/>
      <c r="I131" s="634"/>
      <c r="J131" s="634"/>
      <c r="K131" s="637"/>
      <c r="L131" s="1">
        <f t="shared" si="9"/>
        <v>7</v>
      </c>
      <c r="M131" s="1" t="str">
        <f t="shared" si="11"/>
        <v>Yes</v>
      </c>
      <c r="N131" s="1" t="str">
        <f t="shared" si="10"/>
        <v/>
      </c>
    </row>
    <row r="132" spans="1:14" ht="15" customHeight="1" x14ac:dyDescent="0.2">
      <c r="A132" s="633"/>
      <c r="B132" s="634"/>
      <c r="C132" s="634"/>
      <c r="D132" s="637"/>
      <c r="E132" s="27"/>
      <c r="F132" s="27"/>
      <c r="G132" s="29"/>
      <c r="H132" s="633"/>
      <c r="I132" s="634"/>
      <c r="J132" s="634"/>
      <c r="K132" s="637"/>
      <c r="L132" s="1">
        <f t="shared" si="9"/>
        <v>7</v>
      </c>
      <c r="M132" s="1" t="str">
        <f t="shared" si="11"/>
        <v>Yes</v>
      </c>
      <c r="N132" s="1" t="str">
        <f t="shared" si="10"/>
        <v/>
      </c>
    </row>
    <row r="133" spans="1:14" ht="15" customHeight="1" x14ac:dyDescent="0.2">
      <c r="A133" s="633"/>
      <c r="B133" s="634"/>
      <c r="C133" s="634"/>
      <c r="D133" s="637"/>
      <c r="E133" s="27"/>
      <c r="F133" s="27"/>
      <c r="G133" s="29"/>
      <c r="H133" s="633"/>
      <c r="I133" s="634"/>
      <c r="J133" s="634"/>
      <c r="K133" s="637"/>
      <c r="L133" s="1">
        <f t="shared" si="9"/>
        <v>7</v>
      </c>
      <c r="M133" s="1" t="str">
        <f t="shared" si="11"/>
        <v>Yes</v>
      </c>
      <c r="N133" s="1" t="str">
        <f t="shared" si="10"/>
        <v/>
      </c>
    </row>
    <row r="134" spans="1:14" ht="15" customHeight="1" x14ac:dyDescent="0.2">
      <c r="A134" s="633"/>
      <c r="B134" s="634"/>
      <c r="C134" s="634"/>
      <c r="D134" s="637"/>
      <c r="E134" s="27"/>
      <c r="F134" s="27"/>
      <c r="G134" s="29"/>
      <c r="H134" s="633"/>
      <c r="I134" s="634"/>
      <c r="J134" s="634"/>
      <c r="K134" s="637"/>
      <c r="L134" s="1">
        <f t="shared" si="9"/>
        <v>7</v>
      </c>
      <c r="M134" s="1" t="str">
        <f t="shared" si="11"/>
        <v>Yes</v>
      </c>
      <c r="N134" s="1" t="str">
        <f t="shared" si="10"/>
        <v/>
      </c>
    </row>
    <row r="135" spans="1:14" ht="15" customHeight="1" x14ac:dyDescent="0.2">
      <c r="A135" s="633"/>
      <c r="B135" s="634"/>
      <c r="C135" s="634"/>
      <c r="D135" s="637"/>
      <c r="E135" s="27"/>
      <c r="F135" s="27"/>
      <c r="G135" s="29"/>
      <c r="H135" s="633"/>
      <c r="I135" s="634"/>
      <c r="J135" s="634"/>
      <c r="K135" s="637"/>
      <c r="L135" s="1">
        <f t="shared" si="9"/>
        <v>7</v>
      </c>
      <c r="M135" s="1" t="str">
        <f t="shared" si="11"/>
        <v>Yes</v>
      </c>
      <c r="N135" s="1" t="str">
        <f t="shared" si="10"/>
        <v/>
      </c>
    </row>
    <row r="136" spans="1:14" ht="15" customHeight="1" x14ac:dyDescent="0.2">
      <c r="A136" s="633"/>
      <c r="B136" s="634"/>
      <c r="C136" s="634"/>
      <c r="D136" s="637"/>
      <c r="E136" s="27"/>
      <c r="F136" s="27"/>
      <c r="G136" s="29"/>
      <c r="H136" s="633"/>
      <c r="I136" s="634"/>
      <c r="J136" s="634"/>
      <c r="K136" s="637"/>
      <c r="L136" s="1">
        <f t="shared" si="9"/>
        <v>7</v>
      </c>
      <c r="M136" s="1" t="str">
        <f t="shared" si="11"/>
        <v>Yes</v>
      </c>
      <c r="N136" s="1" t="str">
        <f t="shared" si="10"/>
        <v/>
      </c>
    </row>
    <row r="137" spans="1:14" ht="15" customHeight="1" x14ac:dyDescent="0.2">
      <c r="A137" s="633"/>
      <c r="B137" s="634"/>
      <c r="C137" s="634"/>
      <c r="D137" s="637"/>
      <c r="E137" s="27"/>
      <c r="F137" s="27"/>
      <c r="G137" s="29"/>
      <c r="H137" s="633"/>
      <c r="I137" s="634"/>
      <c r="J137" s="634"/>
      <c r="K137" s="637"/>
      <c r="L137" s="1">
        <f t="shared" si="9"/>
        <v>7</v>
      </c>
      <c r="M137" s="1" t="str">
        <f t="shared" si="11"/>
        <v>Yes</v>
      </c>
      <c r="N137" s="1" t="str">
        <f t="shared" si="10"/>
        <v/>
      </c>
    </row>
    <row r="138" spans="1:14" ht="15" customHeight="1" x14ac:dyDescent="0.2">
      <c r="A138" s="633"/>
      <c r="B138" s="634"/>
      <c r="C138" s="634"/>
      <c r="D138" s="637"/>
      <c r="E138" s="27"/>
      <c r="F138" s="27"/>
      <c r="G138" s="29"/>
      <c r="H138" s="633"/>
      <c r="I138" s="634"/>
      <c r="J138" s="634"/>
      <c r="K138" s="637"/>
      <c r="L138" s="1">
        <f t="shared" si="9"/>
        <v>7</v>
      </c>
      <c r="M138" s="1" t="str">
        <f t="shared" si="11"/>
        <v>Yes</v>
      </c>
      <c r="N138" s="1" t="str">
        <f t="shared" si="10"/>
        <v/>
      </c>
    </row>
    <row r="139" spans="1:14" ht="15" customHeight="1" x14ac:dyDescent="0.2">
      <c r="A139" s="633"/>
      <c r="B139" s="634"/>
      <c r="C139" s="634"/>
      <c r="D139" s="637"/>
      <c r="E139" s="27"/>
      <c r="F139" s="27"/>
      <c r="G139" s="29"/>
      <c r="H139" s="633"/>
      <c r="I139" s="634"/>
      <c r="J139" s="634"/>
      <c r="K139" s="637"/>
      <c r="L139" s="1">
        <f t="shared" si="9"/>
        <v>7</v>
      </c>
      <c r="M139" s="1" t="str">
        <f t="shared" si="11"/>
        <v>Yes</v>
      </c>
      <c r="N139" s="1" t="str">
        <f t="shared" si="10"/>
        <v/>
      </c>
    </row>
    <row r="140" spans="1:14" ht="15" customHeight="1" x14ac:dyDescent="0.2">
      <c r="A140" s="633"/>
      <c r="B140" s="634"/>
      <c r="C140" s="634"/>
      <c r="D140" s="637"/>
      <c r="E140" s="27"/>
      <c r="F140" s="27"/>
      <c r="G140" s="29"/>
      <c r="H140" s="633"/>
      <c r="I140" s="634"/>
      <c r="J140" s="634"/>
      <c r="K140" s="637"/>
      <c r="L140" s="1">
        <f t="shared" si="9"/>
        <v>7</v>
      </c>
      <c r="M140" s="1" t="str">
        <f t="shared" si="11"/>
        <v>Yes</v>
      </c>
      <c r="N140" s="1" t="str">
        <f t="shared" si="10"/>
        <v/>
      </c>
    </row>
    <row r="141" spans="1:14" ht="15" customHeight="1" x14ac:dyDescent="0.2">
      <c r="A141" s="633"/>
      <c r="B141" s="634"/>
      <c r="C141" s="634"/>
      <c r="D141" s="637"/>
      <c r="E141" s="27"/>
      <c r="F141" s="27"/>
      <c r="G141" s="29"/>
      <c r="H141" s="633"/>
      <c r="I141" s="634"/>
      <c r="J141" s="634"/>
      <c r="K141" s="637"/>
      <c r="L141" s="1">
        <f t="shared" si="9"/>
        <v>7</v>
      </c>
      <c r="M141" s="1" t="str">
        <f t="shared" si="11"/>
        <v>Yes</v>
      </c>
      <c r="N141" s="1" t="str">
        <f t="shared" si="10"/>
        <v/>
      </c>
    </row>
    <row r="142" spans="1:14" ht="15" customHeight="1" x14ac:dyDescent="0.2">
      <c r="A142" s="633"/>
      <c r="B142" s="634"/>
      <c r="C142" s="634"/>
      <c r="D142" s="637"/>
      <c r="E142" s="27"/>
      <c r="F142" s="27"/>
      <c r="G142" s="29"/>
      <c r="H142" s="633"/>
      <c r="I142" s="634"/>
      <c r="J142" s="634"/>
      <c r="K142" s="637"/>
      <c r="L142" s="1">
        <f t="shared" si="9"/>
        <v>7</v>
      </c>
      <c r="M142" s="1" t="str">
        <f t="shared" si="11"/>
        <v>Yes</v>
      </c>
      <c r="N142" s="1" t="str">
        <f t="shared" si="10"/>
        <v/>
      </c>
    </row>
    <row r="143" spans="1:14" ht="15" customHeight="1" x14ac:dyDescent="0.2">
      <c r="A143" s="633"/>
      <c r="B143" s="634"/>
      <c r="C143" s="634"/>
      <c r="D143" s="637"/>
      <c r="E143" s="27"/>
      <c r="F143" s="27"/>
      <c r="G143" s="29"/>
      <c r="H143" s="633"/>
      <c r="I143" s="634"/>
      <c r="J143" s="634"/>
      <c r="K143" s="637"/>
      <c r="L143" s="1">
        <f t="shared" si="9"/>
        <v>7</v>
      </c>
      <c r="M143" s="1" t="str">
        <f t="shared" si="11"/>
        <v>Yes</v>
      </c>
      <c r="N143" s="1" t="str">
        <f t="shared" si="10"/>
        <v/>
      </c>
    </row>
    <row r="144" spans="1:14" ht="15" customHeight="1" x14ac:dyDescent="0.2">
      <c r="A144" s="751" t="s">
        <v>98</v>
      </c>
      <c r="B144" s="645"/>
      <c r="C144" s="645"/>
      <c r="D144" s="645"/>
      <c r="E144" s="645"/>
      <c r="F144" s="646"/>
      <c r="G144" s="647">
        <f>SUM(G119:G143)</f>
        <v>0</v>
      </c>
      <c r="H144" s="648"/>
      <c r="I144" s="648"/>
      <c r="J144" s="648"/>
      <c r="K144" s="752"/>
      <c r="M144" s="1">
        <f>COUNTIF(M119:M143,"Yes")</f>
        <v>25</v>
      </c>
    </row>
    <row r="145" spans="1:14" ht="15" customHeight="1" x14ac:dyDescent="0.2">
      <c r="A145" s="747"/>
      <c r="B145" s="673"/>
      <c r="C145" s="673"/>
      <c r="D145" s="673"/>
      <c r="E145" s="673"/>
      <c r="F145" s="673"/>
      <c r="G145" s="673"/>
      <c r="H145" s="673"/>
      <c r="I145" s="673"/>
      <c r="J145" s="673"/>
      <c r="K145" s="748"/>
    </row>
    <row r="146" spans="1:14" ht="34.5" customHeight="1" x14ac:dyDescent="0.2">
      <c r="A146" s="749" t="s">
        <v>477</v>
      </c>
      <c r="B146" s="651"/>
      <c r="C146" s="651"/>
      <c r="D146" s="651"/>
      <c r="E146" s="651"/>
      <c r="F146" s="651"/>
      <c r="G146" s="651"/>
      <c r="H146" s="651"/>
      <c r="I146" s="651"/>
      <c r="J146" s="651"/>
      <c r="K146" s="750"/>
    </row>
    <row r="147" spans="1:14" ht="18" customHeight="1" x14ac:dyDescent="0.2">
      <c r="A147" s="749" t="s">
        <v>479</v>
      </c>
      <c r="B147" s="651"/>
      <c r="C147" s="651"/>
      <c r="D147" s="651"/>
      <c r="E147" s="651"/>
      <c r="F147" s="651"/>
      <c r="G147" s="651"/>
      <c r="H147" s="651"/>
      <c r="I147" s="651"/>
      <c r="J147" s="651"/>
      <c r="K147" s="750"/>
    </row>
    <row r="148" spans="1:14" ht="15" customHeight="1" x14ac:dyDescent="0.2">
      <c r="A148" s="666" t="s">
        <v>49</v>
      </c>
      <c r="B148" s="654"/>
      <c r="C148" s="654"/>
      <c r="D148" s="655"/>
      <c r="E148" s="662" t="s">
        <v>140</v>
      </c>
      <c r="F148" s="662" t="s">
        <v>139</v>
      </c>
      <c r="G148" s="665" t="s">
        <v>104</v>
      </c>
      <c r="H148" s="666" t="s">
        <v>53</v>
      </c>
      <c r="I148" s="654"/>
      <c r="J148" s="654"/>
      <c r="K148" s="655"/>
    </row>
    <row r="149" spans="1:14" ht="15" customHeight="1" x14ac:dyDescent="0.2">
      <c r="A149" s="668"/>
      <c r="B149" s="657"/>
      <c r="C149" s="657"/>
      <c r="D149" s="658"/>
      <c r="E149" s="663"/>
      <c r="F149" s="663"/>
      <c r="G149" s="663"/>
      <c r="H149" s="668"/>
      <c r="I149" s="657"/>
      <c r="J149" s="657"/>
      <c r="K149" s="658"/>
    </row>
    <row r="150" spans="1:14" ht="15" customHeight="1" x14ac:dyDescent="0.2">
      <c r="A150" s="668"/>
      <c r="B150" s="657"/>
      <c r="C150" s="657"/>
      <c r="D150" s="658"/>
      <c r="E150" s="663"/>
      <c r="F150" s="663"/>
      <c r="G150" s="663"/>
      <c r="H150" s="668"/>
      <c r="I150" s="657"/>
      <c r="J150" s="657"/>
      <c r="K150" s="658"/>
    </row>
    <row r="151" spans="1:14" ht="15" customHeight="1" x14ac:dyDescent="0.2">
      <c r="A151" s="668"/>
      <c r="B151" s="657"/>
      <c r="C151" s="657"/>
      <c r="D151" s="658"/>
      <c r="E151" s="663"/>
      <c r="F151" s="663"/>
      <c r="G151" s="663"/>
      <c r="H151" s="668"/>
      <c r="I151" s="657"/>
      <c r="J151" s="657"/>
      <c r="K151" s="658"/>
    </row>
    <row r="152" spans="1:14" ht="15" customHeight="1" x14ac:dyDescent="0.2">
      <c r="A152" s="668"/>
      <c r="B152" s="657"/>
      <c r="C152" s="657"/>
      <c r="D152" s="658"/>
      <c r="E152" s="663"/>
      <c r="F152" s="663"/>
      <c r="G152" s="663"/>
      <c r="H152" s="668"/>
      <c r="I152" s="657"/>
      <c r="J152" s="657"/>
      <c r="K152" s="658"/>
    </row>
    <row r="153" spans="1:14" ht="14.25" customHeight="1" x14ac:dyDescent="0.2">
      <c r="A153" s="670"/>
      <c r="B153" s="660"/>
      <c r="C153" s="660"/>
      <c r="D153" s="661"/>
      <c r="E153" s="664"/>
      <c r="F153" s="664"/>
      <c r="G153" s="664"/>
      <c r="H153" s="670"/>
      <c r="I153" s="660"/>
      <c r="J153" s="660"/>
      <c r="K153" s="661"/>
    </row>
    <row r="154" spans="1:14" ht="15" customHeight="1" x14ac:dyDescent="0.2">
      <c r="A154" s="633"/>
      <c r="B154" s="634"/>
      <c r="C154" s="634"/>
      <c r="D154" s="637"/>
      <c r="E154" s="27"/>
      <c r="F154" s="27"/>
      <c r="G154" s="29"/>
      <c r="H154" s="633"/>
      <c r="I154" s="634"/>
      <c r="J154" s="634"/>
      <c r="K154" s="637"/>
      <c r="L154" s="1">
        <f t="shared" ref="L154:L178" si="12">COUNTBLANK(E154:K154)</f>
        <v>7</v>
      </c>
      <c r="M154" s="1" t="str">
        <f>IF(AND(A154&lt;&gt;"",L154&gt;3),"No","Yes")</f>
        <v>Yes</v>
      </c>
      <c r="N154" s="1" t="str">
        <f t="shared" ref="N154:N178" si="13">CONCATENATE(E154,F154)</f>
        <v/>
      </c>
    </row>
    <row r="155" spans="1:14" ht="15" customHeight="1" x14ac:dyDescent="0.2">
      <c r="A155" s="633"/>
      <c r="B155" s="634"/>
      <c r="C155" s="634"/>
      <c r="D155" s="637"/>
      <c r="E155" s="27"/>
      <c r="F155" s="27"/>
      <c r="G155" s="29"/>
      <c r="H155" s="633"/>
      <c r="I155" s="634"/>
      <c r="J155" s="634"/>
      <c r="K155" s="637"/>
      <c r="L155" s="1">
        <f t="shared" si="12"/>
        <v>7</v>
      </c>
      <c r="M155" s="1" t="str">
        <f t="shared" ref="M155:M178" si="14">IF(AND(A155&lt;&gt;"",L155&gt;3),"No","Yes")</f>
        <v>Yes</v>
      </c>
      <c r="N155" s="1" t="str">
        <f t="shared" si="13"/>
        <v/>
      </c>
    </row>
    <row r="156" spans="1:14" ht="15" customHeight="1" x14ac:dyDescent="0.2">
      <c r="A156" s="633"/>
      <c r="B156" s="634"/>
      <c r="C156" s="634"/>
      <c r="D156" s="637"/>
      <c r="E156" s="27"/>
      <c r="F156" s="27"/>
      <c r="G156" s="29"/>
      <c r="H156" s="633"/>
      <c r="I156" s="634"/>
      <c r="J156" s="634"/>
      <c r="K156" s="637"/>
      <c r="L156" s="1">
        <f t="shared" si="12"/>
        <v>7</v>
      </c>
      <c r="M156" s="1" t="str">
        <f t="shared" si="14"/>
        <v>Yes</v>
      </c>
      <c r="N156" s="1" t="str">
        <f t="shared" si="13"/>
        <v/>
      </c>
    </row>
    <row r="157" spans="1:14" ht="15" customHeight="1" x14ac:dyDescent="0.2">
      <c r="A157" s="633"/>
      <c r="B157" s="634"/>
      <c r="C157" s="634"/>
      <c r="D157" s="637"/>
      <c r="E157" s="27"/>
      <c r="F157" s="27"/>
      <c r="G157" s="29"/>
      <c r="H157" s="633"/>
      <c r="I157" s="634"/>
      <c r="J157" s="634"/>
      <c r="K157" s="637"/>
      <c r="L157" s="1">
        <f t="shared" si="12"/>
        <v>7</v>
      </c>
      <c r="M157" s="1" t="str">
        <f t="shared" si="14"/>
        <v>Yes</v>
      </c>
      <c r="N157" s="1" t="str">
        <f t="shared" si="13"/>
        <v/>
      </c>
    </row>
    <row r="158" spans="1:14" ht="15" customHeight="1" x14ac:dyDescent="0.2">
      <c r="A158" s="633"/>
      <c r="B158" s="634"/>
      <c r="C158" s="634"/>
      <c r="D158" s="637"/>
      <c r="E158" s="27"/>
      <c r="F158" s="27"/>
      <c r="G158" s="29"/>
      <c r="H158" s="633"/>
      <c r="I158" s="634"/>
      <c r="J158" s="634"/>
      <c r="K158" s="637"/>
      <c r="L158" s="1">
        <f t="shared" si="12"/>
        <v>7</v>
      </c>
      <c r="M158" s="1" t="str">
        <f t="shared" si="14"/>
        <v>Yes</v>
      </c>
      <c r="N158" s="1" t="str">
        <f t="shared" si="13"/>
        <v/>
      </c>
    </row>
    <row r="159" spans="1:14" ht="15" customHeight="1" x14ac:dyDescent="0.2">
      <c r="A159" s="633"/>
      <c r="B159" s="634"/>
      <c r="C159" s="634"/>
      <c r="D159" s="637"/>
      <c r="E159" s="27"/>
      <c r="F159" s="27"/>
      <c r="G159" s="29"/>
      <c r="H159" s="633"/>
      <c r="I159" s="634"/>
      <c r="J159" s="634"/>
      <c r="K159" s="637"/>
      <c r="L159" s="1">
        <f t="shared" si="12"/>
        <v>7</v>
      </c>
      <c r="M159" s="1" t="str">
        <f t="shared" si="14"/>
        <v>Yes</v>
      </c>
      <c r="N159" s="1" t="str">
        <f t="shared" si="13"/>
        <v/>
      </c>
    </row>
    <row r="160" spans="1:14" ht="15" customHeight="1" x14ac:dyDescent="0.2">
      <c r="A160" s="633"/>
      <c r="B160" s="634"/>
      <c r="C160" s="634"/>
      <c r="D160" s="637"/>
      <c r="E160" s="27"/>
      <c r="F160" s="27"/>
      <c r="G160" s="29"/>
      <c r="H160" s="633"/>
      <c r="I160" s="634"/>
      <c r="J160" s="634"/>
      <c r="K160" s="637"/>
      <c r="L160" s="1">
        <f t="shared" si="12"/>
        <v>7</v>
      </c>
      <c r="M160" s="1" t="str">
        <f t="shared" si="14"/>
        <v>Yes</v>
      </c>
      <c r="N160" s="1" t="str">
        <f t="shared" si="13"/>
        <v/>
      </c>
    </row>
    <row r="161" spans="1:14" ht="15" customHeight="1" x14ac:dyDescent="0.2">
      <c r="A161" s="633"/>
      <c r="B161" s="634"/>
      <c r="C161" s="634"/>
      <c r="D161" s="637"/>
      <c r="E161" s="27"/>
      <c r="F161" s="27"/>
      <c r="G161" s="29"/>
      <c r="H161" s="633"/>
      <c r="I161" s="634"/>
      <c r="J161" s="634"/>
      <c r="K161" s="637"/>
      <c r="L161" s="1">
        <f t="shared" si="12"/>
        <v>7</v>
      </c>
      <c r="M161" s="1" t="str">
        <f t="shared" si="14"/>
        <v>Yes</v>
      </c>
      <c r="N161" s="1" t="str">
        <f t="shared" si="13"/>
        <v/>
      </c>
    </row>
    <row r="162" spans="1:14" ht="15" customHeight="1" x14ac:dyDescent="0.2">
      <c r="A162" s="633"/>
      <c r="B162" s="634"/>
      <c r="C162" s="634"/>
      <c r="D162" s="637"/>
      <c r="E162" s="27"/>
      <c r="F162" s="27"/>
      <c r="G162" s="29"/>
      <c r="H162" s="633"/>
      <c r="I162" s="634"/>
      <c r="J162" s="634"/>
      <c r="K162" s="637"/>
      <c r="L162" s="1">
        <f t="shared" si="12"/>
        <v>7</v>
      </c>
      <c r="M162" s="1" t="str">
        <f t="shared" si="14"/>
        <v>Yes</v>
      </c>
      <c r="N162" s="1" t="str">
        <f t="shared" si="13"/>
        <v/>
      </c>
    </row>
    <row r="163" spans="1:14" ht="15" customHeight="1" x14ac:dyDescent="0.2">
      <c r="A163" s="633"/>
      <c r="B163" s="634"/>
      <c r="C163" s="634"/>
      <c r="D163" s="637"/>
      <c r="E163" s="27"/>
      <c r="F163" s="27"/>
      <c r="G163" s="29"/>
      <c r="H163" s="633"/>
      <c r="I163" s="634"/>
      <c r="J163" s="634"/>
      <c r="K163" s="637"/>
      <c r="L163" s="1">
        <f t="shared" si="12"/>
        <v>7</v>
      </c>
      <c r="M163" s="1" t="str">
        <f t="shared" si="14"/>
        <v>Yes</v>
      </c>
      <c r="N163" s="1" t="str">
        <f t="shared" si="13"/>
        <v/>
      </c>
    </row>
    <row r="164" spans="1:14" ht="15" customHeight="1" x14ac:dyDescent="0.2">
      <c r="A164" s="633"/>
      <c r="B164" s="634"/>
      <c r="C164" s="634"/>
      <c r="D164" s="637"/>
      <c r="E164" s="27"/>
      <c r="F164" s="27"/>
      <c r="G164" s="29"/>
      <c r="H164" s="633"/>
      <c r="I164" s="634"/>
      <c r="J164" s="634"/>
      <c r="K164" s="637"/>
      <c r="L164" s="1">
        <f t="shared" si="12"/>
        <v>7</v>
      </c>
      <c r="M164" s="1" t="str">
        <f t="shared" si="14"/>
        <v>Yes</v>
      </c>
      <c r="N164" s="1" t="str">
        <f t="shared" si="13"/>
        <v/>
      </c>
    </row>
    <row r="165" spans="1:14" ht="15" customHeight="1" x14ac:dyDescent="0.2">
      <c r="A165" s="633"/>
      <c r="B165" s="634"/>
      <c r="C165" s="634"/>
      <c r="D165" s="637"/>
      <c r="E165" s="27"/>
      <c r="F165" s="27"/>
      <c r="G165" s="29"/>
      <c r="H165" s="633"/>
      <c r="I165" s="634"/>
      <c r="J165" s="634"/>
      <c r="K165" s="637"/>
      <c r="L165" s="1">
        <f t="shared" si="12"/>
        <v>7</v>
      </c>
      <c r="M165" s="1" t="str">
        <f t="shared" si="14"/>
        <v>Yes</v>
      </c>
      <c r="N165" s="1" t="str">
        <f t="shared" si="13"/>
        <v/>
      </c>
    </row>
    <row r="166" spans="1:14" ht="15" customHeight="1" x14ac:dyDescent="0.2">
      <c r="A166" s="633"/>
      <c r="B166" s="634"/>
      <c r="C166" s="634"/>
      <c r="D166" s="637"/>
      <c r="E166" s="27"/>
      <c r="F166" s="27"/>
      <c r="G166" s="29"/>
      <c r="H166" s="633"/>
      <c r="I166" s="634"/>
      <c r="J166" s="634"/>
      <c r="K166" s="637"/>
      <c r="L166" s="1">
        <f t="shared" si="12"/>
        <v>7</v>
      </c>
      <c r="M166" s="1" t="str">
        <f t="shared" si="14"/>
        <v>Yes</v>
      </c>
      <c r="N166" s="1" t="str">
        <f t="shared" si="13"/>
        <v/>
      </c>
    </row>
    <row r="167" spans="1:14" ht="15" customHeight="1" x14ac:dyDescent="0.2">
      <c r="A167" s="633"/>
      <c r="B167" s="634"/>
      <c r="C167" s="634"/>
      <c r="D167" s="637"/>
      <c r="E167" s="27"/>
      <c r="F167" s="27"/>
      <c r="G167" s="29"/>
      <c r="H167" s="633"/>
      <c r="I167" s="634"/>
      <c r="J167" s="634"/>
      <c r="K167" s="637"/>
      <c r="L167" s="1">
        <f t="shared" si="12"/>
        <v>7</v>
      </c>
      <c r="M167" s="1" t="str">
        <f t="shared" si="14"/>
        <v>Yes</v>
      </c>
      <c r="N167" s="1" t="str">
        <f t="shared" si="13"/>
        <v/>
      </c>
    </row>
    <row r="168" spans="1:14" ht="15" customHeight="1" x14ac:dyDescent="0.2">
      <c r="A168" s="633"/>
      <c r="B168" s="634"/>
      <c r="C168" s="634"/>
      <c r="D168" s="637"/>
      <c r="E168" s="27"/>
      <c r="F168" s="27"/>
      <c r="G168" s="29"/>
      <c r="H168" s="633"/>
      <c r="I168" s="634"/>
      <c r="J168" s="634"/>
      <c r="K168" s="637"/>
      <c r="L168" s="1">
        <f t="shared" si="12"/>
        <v>7</v>
      </c>
      <c r="M168" s="1" t="str">
        <f t="shared" si="14"/>
        <v>Yes</v>
      </c>
      <c r="N168" s="1" t="str">
        <f t="shared" si="13"/>
        <v/>
      </c>
    </row>
    <row r="169" spans="1:14" ht="15" customHeight="1" x14ac:dyDescent="0.2">
      <c r="A169" s="633"/>
      <c r="B169" s="634"/>
      <c r="C169" s="634"/>
      <c r="D169" s="637"/>
      <c r="E169" s="27"/>
      <c r="F169" s="27"/>
      <c r="G169" s="29"/>
      <c r="H169" s="633"/>
      <c r="I169" s="634"/>
      <c r="J169" s="634"/>
      <c r="K169" s="637"/>
      <c r="L169" s="1">
        <f t="shared" si="12"/>
        <v>7</v>
      </c>
      <c r="M169" s="1" t="str">
        <f t="shared" si="14"/>
        <v>Yes</v>
      </c>
      <c r="N169" s="1" t="str">
        <f t="shared" si="13"/>
        <v/>
      </c>
    </row>
    <row r="170" spans="1:14" ht="15" customHeight="1" x14ac:dyDescent="0.2">
      <c r="A170" s="633"/>
      <c r="B170" s="634"/>
      <c r="C170" s="634"/>
      <c r="D170" s="637"/>
      <c r="E170" s="27"/>
      <c r="F170" s="27"/>
      <c r="G170" s="29"/>
      <c r="H170" s="633"/>
      <c r="I170" s="634"/>
      <c r="J170" s="634"/>
      <c r="K170" s="637"/>
      <c r="L170" s="1">
        <f t="shared" si="12"/>
        <v>7</v>
      </c>
      <c r="M170" s="1" t="str">
        <f t="shared" si="14"/>
        <v>Yes</v>
      </c>
      <c r="N170" s="1" t="str">
        <f t="shared" si="13"/>
        <v/>
      </c>
    </row>
    <row r="171" spans="1:14" ht="15" customHeight="1" x14ac:dyDescent="0.2">
      <c r="A171" s="633"/>
      <c r="B171" s="634"/>
      <c r="C171" s="634"/>
      <c r="D171" s="637"/>
      <c r="E171" s="27"/>
      <c r="F171" s="27"/>
      <c r="G171" s="29"/>
      <c r="H171" s="633"/>
      <c r="I171" s="634"/>
      <c r="J171" s="634"/>
      <c r="K171" s="637"/>
      <c r="L171" s="1">
        <f t="shared" si="12"/>
        <v>7</v>
      </c>
      <c r="M171" s="1" t="str">
        <f t="shared" si="14"/>
        <v>Yes</v>
      </c>
      <c r="N171" s="1" t="str">
        <f t="shared" si="13"/>
        <v/>
      </c>
    </row>
    <row r="172" spans="1:14" ht="15" customHeight="1" x14ac:dyDescent="0.2">
      <c r="A172" s="633"/>
      <c r="B172" s="634"/>
      <c r="C172" s="634"/>
      <c r="D172" s="637"/>
      <c r="E172" s="27"/>
      <c r="F172" s="27"/>
      <c r="G172" s="29"/>
      <c r="H172" s="633"/>
      <c r="I172" s="634"/>
      <c r="J172" s="634"/>
      <c r="K172" s="637"/>
      <c r="L172" s="1">
        <f t="shared" si="12"/>
        <v>7</v>
      </c>
      <c r="M172" s="1" t="str">
        <f t="shared" si="14"/>
        <v>Yes</v>
      </c>
      <c r="N172" s="1" t="str">
        <f t="shared" si="13"/>
        <v/>
      </c>
    </row>
    <row r="173" spans="1:14" ht="15" customHeight="1" x14ac:dyDescent="0.2">
      <c r="A173" s="633"/>
      <c r="B173" s="634"/>
      <c r="C173" s="634"/>
      <c r="D173" s="637"/>
      <c r="E173" s="27"/>
      <c r="F173" s="27"/>
      <c r="G173" s="29"/>
      <c r="H173" s="633"/>
      <c r="I173" s="634"/>
      <c r="J173" s="634"/>
      <c r="K173" s="637"/>
      <c r="L173" s="1">
        <f t="shared" si="12"/>
        <v>7</v>
      </c>
      <c r="M173" s="1" t="str">
        <f t="shared" si="14"/>
        <v>Yes</v>
      </c>
      <c r="N173" s="1" t="str">
        <f t="shared" si="13"/>
        <v/>
      </c>
    </row>
    <row r="174" spans="1:14" ht="15" customHeight="1" x14ac:dyDescent="0.2">
      <c r="A174" s="633"/>
      <c r="B174" s="634"/>
      <c r="C174" s="634"/>
      <c r="D174" s="637"/>
      <c r="E174" s="27"/>
      <c r="F174" s="27"/>
      <c r="G174" s="29"/>
      <c r="H174" s="633"/>
      <c r="I174" s="634"/>
      <c r="J174" s="634"/>
      <c r="K174" s="637"/>
      <c r="L174" s="1">
        <f t="shared" si="12"/>
        <v>7</v>
      </c>
      <c r="M174" s="1" t="str">
        <f t="shared" si="14"/>
        <v>Yes</v>
      </c>
      <c r="N174" s="1" t="str">
        <f t="shared" si="13"/>
        <v/>
      </c>
    </row>
    <row r="175" spans="1:14" ht="15" customHeight="1" x14ac:dyDescent="0.2">
      <c r="A175" s="633"/>
      <c r="B175" s="634"/>
      <c r="C175" s="634"/>
      <c r="D175" s="637"/>
      <c r="E175" s="27"/>
      <c r="F175" s="27"/>
      <c r="G175" s="29"/>
      <c r="H175" s="633"/>
      <c r="I175" s="634"/>
      <c r="J175" s="634"/>
      <c r="K175" s="637"/>
      <c r="L175" s="1">
        <f t="shared" si="12"/>
        <v>7</v>
      </c>
      <c r="M175" s="1" t="str">
        <f t="shared" si="14"/>
        <v>Yes</v>
      </c>
      <c r="N175" s="1" t="str">
        <f t="shared" si="13"/>
        <v/>
      </c>
    </row>
    <row r="176" spans="1:14" ht="15" customHeight="1" x14ac:dyDescent="0.2">
      <c r="A176" s="633"/>
      <c r="B176" s="634"/>
      <c r="C176" s="634"/>
      <c r="D176" s="637"/>
      <c r="E176" s="27"/>
      <c r="F176" s="27"/>
      <c r="G176" s="29"/>
      <c r="H176" s="633"/>
      <c r="I176" s="634"/>
      <c r="J176" s="634"/>
      <c r="K176" s="637"/>
      <c r="L176" s="1">
        <f t="shared" si="12"/>
        <v>7</v>
      </c>
      <c r="M176" s="1" t="str">
        <f t="shared" si="14"/>
        <v>Yes</v>
      </c>
      <c r="N176" s="1" t="str">
        <f t="shared" si="13"/>
        <v/>
      </c>
    </row>
    <row r="177" spans="1:14" ht="15" customHeight="1" x14ac:dyDescent="0.2">
      <c r="A177" s="633"/>
      <c r="B177" s="634"/>
      <c r="C177" s="634"/>
      <c r="D177" s="637"/>
      <c r="E177" s="27"/>
      <c r="F177" s="27"/>
      <c r="G177" s="29"/>
      <c r="H177" s="633"/>
      <c r="I177" s="634"/>
      <c r="J177" s="634"/>
      <c r="K177" s="637"/>
      <c r="L177" s="1">
        <f t="shared" si="12"/>
        <v>7</v>
      </c>
      <c r="M177" s="1" t="str">
        <f t="shared" si="14"/>
        <v>Yes</v>
      </c>
      <c r="N177" s="1" t="str">
        <f t="shared" si="13"/>
        <v/>
      </c>
    </row>
    <row r="178" spans="1:14" ht="15" customHeight="1" x14ac:dyDescent="0.2">
      <c r="A178" s="633"/>
      <c r="B178" s="634"/>
      <c r="C178" s="634"/>
      <c r="D178" s="637"/>
      <c r="E178" s="27"/>
      <c r="F178" s="27"/>
      <c r="G178" s="29"/>
      <c r="H178" s="633"/>
      <c r="I178" s="634"/>
      <c r="J178" s="634"/>
      <c r="K178" s="637"/>
      <c r="L178" s="1">
        <f t="shared" si="12"/>
        <v>7</v>
      </c>
      <c r="M178" s="1" t="str">
        <f t="shared" si="14"/>
        <v>Yes</v>
      </c>
      <c r="N178" s="1" t="str">
        <f t="shared" si="13"/>
        <v/>
      </c>
    </row>
    <row r="179" spans="1:14" ht="15" customHeight="1" x14ac:dyDescent="0.2">
      <c r="A179" s="751" t="s">
        <v>99</v>
      </c>
      <c r="B179" s="645"/>
      <c r="C179" s="645"/>
      <c r="D179" s="645"/>
      <c r="E179" s="645"/>
      <c r="F179" s="646"/>
      <c r="G179" s="647">
        <f>SUM(G154:G178)</f>
        <v>0</v>
      </c>
      <c r="H179" s="648"/>
      <c r="I179" s="648"/>
      <c r="J179" s="648"/>
      <c r="K179" s="752"/>
      <c r="M179" s="1">
        <f>COUNTIF(M154:M178,"Yes")</f>
        <v>25</v>
      </c>
    </row>
    <row r="180" spans="1:14" ht="15" customHeight="1" x14ac:dyDescent="0.2">
      <c r="A180" s="747"/>
      <c r="B180" s="673"/>
      <c r="C180" s="673"/>
      <c r="D180" s="673"/>
      <c r="E180" s="673"/>
      <c r="F180" s="673"/>
      <c r="G180" s="673"/>
      <c r="H180" s="673"/>
      <c r="I180" s="673"/>
      <c r="J180" s="673"/>
      <c r="K180" s="748"/>
    </row>
    <row r="181" spans="1:14" ht="18" customHeight="1" x14ac:dyDescent="0.2">
      <c r="A181" s="749" t="s">
        <v>47</v>
      </c>
      <c r="B181" s="651"/>
      <c r="C181" s="651"/>
      <c r="D181" s="651"/>
      <c r="E181" s="651"/>
      <c r="F181" s="651"/>
      <c r="G181" s="651"/>
      <c r="H181" s="651"/>
      <c r="I181" s="651"/>
      <c r="J181" s="651"/>
      <c r="K181" s="750"/>
    </row>
    <row r="182" spans="1:14" ht="18" customHeight="1" x14ac:dyDescent="0.2">
      <c r="A182" s="749" t="s">
        <v>479</v>
      </c>
      <c r="B182" s="651"/>
      <c r="C182" s="651"/>
      <c r="D182" s="651"/>
      <c r="E182" s="651"/>
      <c r="F182" s="651"/>
      <c r="G182" s="651"/>
      <c r="H182" s="651"/>
      <c r="I182" s="651"/>
      <c r="J182" s="651"/>
      <c r="K182" s="750"/>
    </row>
    <row r="183" spans="1:14" ht="15" customHeight="1" x14ac:dyDescent="0.2">
      <c r="A183" s="666" t="s">
        <v>49</v>
      </c>
      <c r="B183" s="654"/>
      <c r="C183" s="654"/>
      <c r="D183" s="655"/>
      <c r="E183" s="662" t="s">
        <v>140</v>
      </c>
      <c r="F183" s="662" t="s">
        <v>139</v>
      </c>
      <c r="G183" s="665" t="s">
        <v>104</v>
      </c>
      <c r="H183" s="666" t="s">
        <v>53</v>
      </c>
      <c r="I183" s="654"/>
      <c r="J183" s="654"/>
      <c r="K183" s="655"/>
    </row>
    <row r="184" spans="1:14" ht="15" customHeight="1" x14ac:dyDescent="0.2">
      <c r="A184" s="668"/>
      <c r="B184" s="657"/>
      <c r="C184" s="657"/>
      <c r="D184" s="658"/>
      <c r="E184" s="663"/>
      <c r="F184" s="663"/>
      <c r="G184" s="663"/>
      <c r="H184" s="668"/>
      <c r="I184" s="657"/>
      <c r="J184" s="657"/>
      <c r="K184" s="658"/>
    </row>
    <row r="185" spans="1:14" ht="15" customHeight="1" x14ac:dyDescent="0.2">
      <c r="A185" s="668"/>
      <c r="B185" s="657"/>
      <c r="C185" s="657"/>
      <c r="D185" s="658"/>
      <c r="E185" s="663"/>
      <c r="F185" s="663"/>
      <c r="G185" s="663"/>
      <c r="H185" s="668"/>
      <c r="I185" s="657"/>
      <c r="J185" s="657"/>
      <c r="K185" s="658"/>
    </row>
    <row r="186" spans="1:14" ht="15" customHeight="1" x14ac:dyDescent="0.2">
      <c r="A186" s="668"/>
      <c r="B186" s="657"/>
      <c r="C186" s="657"/>
      <c r="D186" s="658"/>
      <c r="E186" s="663"/>
      <c r="F186" s="663"/>
      <c r="G186" s="663"/>
      <c r="H186" s="668"/>
      <c r="I186" s="657"/>
      <c r="J186" s="657"/>
      <c r="K186" s="658"/>
    </row>
    <row r="187" spans="1:14" ht="15" customHeight="1" x14ac:dyDescent="0.2">
      <c r="A187" s="668"/>
      <c r="B187" s="657"/>
      <c r="C187" s="657"/>
      <c r="D187" s="658"/>
      <c r="E187" s="663"/>
      <c r="F187" s="663"/>
      <c r="G187" s="663"/>
      <c r="H187" s="668"/>
      <c r="I187" s="657"/>
      <c r="J187" s="657"/>
      <c r="K187" s="658"/>
    </row>
    <row r="188" spans="1:14" ht="14.25" customHeight="1" x14ac:dyDescent="0.2">
      <c r="A188" s="670"/>
      <c r="B188" s="660"/>
      <c r="C188" s="660"/>
      <c r="D188" s="661"/>
      <c r="E188" s="664"/>
      <c r="F188" s="664"/>
      <c r="G188" s="664"/>
      <c r="H188" s="670"/>
      <c r="I188" s="660"/>
      <c r="J188" s="660"/>
      <c r="K188" s="661"/>
    </row>
    <row r="189" spans="1:14" ht="15" customHeight="1" x14ac:dyDescent="0.2">
      <c r="A189" s="633"/>
      <c r="B189" s="634"/>
      <c r="C189" s="634"/>
      <c r="D189" s="637"/>
      <c r="E189" s="27"/>
      <c r="F189" s="27"/>
      <c r="G189" s="29"/>
      <c r="H189" s="633"/>
      <c r="I189" s="634"/>
      <c r="J189" s="634"/>
      <c r="K189" s="637"/>
      <c r="L189" s="1">
        <f t="shared" ref="L189:L213" si="15">COUNTBLANK(E189:K189)</f>
        <v>7</v>
      </c>
      <c r="M189" s="1" t="str">
        <f>IF(AND(A189&lt;&gt;"",L189&gt;3),"No","Yes")</f>
        <v>Yes</v>
      </c>
      <c r="N189" s="1" t="str">
        <f t="shared" ref="N189:N213" si="16">CONCATENATE(E189,F189)</f>
        <v/>
      </c>
    </row>
    <row r="190" spans="1:14" ht="15" customHeight="1" x14ac:dyDescent="0.2">
      <c r="A190" s="633"/>
      <c r="B190" s="634"/>
      <c r="C190" s="634"/>
      <c r="D190" s="637"/>
      <c r="E190" s="27"/>
      <c r="F190" s="27"/>
      <c r="G190" s="29"/>
      <c r="H190" s="633"/>
      <c r="I190" s="634"/>
      <c r="J190" s="634"/>
      <c r="K190" s="637"/>
      <c r="L190" s="1">
        <f t="shared" si="15"/>
        <v>7</v>
      </c>
      <c r="M190" s="1" t="str">
        <f t="shared" ref="M190:M213" si="17">IF(AND(A190&lt;&gt;"",L190&gt;3),"No","Yes")</f>
        <v>Yes</v>
      </c>
      <c r="N190" s="1" t="str">
        <f t="shared" si="16"/>
        <v/>
      </c>
    </row>
    <row r="191" spans="1:14" ht="15" customHeight="1" x14ac:dyDescent="0.2">
      <c r="A191" s="633"/>
      <c r="B191" s="634"/>
      <c r="C191" s="634"/>
      <c r="D191" s="637"/>
      <c r="E191" s="27"/>
      <c r="F191" s="27"/>
      <c r="G191" s="29"/>
      <c r="H191" s="633"/>
      <c r="I191" s="634"/>
      <c r="J191" s="634"/>
      <c r="K191" s="637"/>
      <c r="L191" s="1">
        <f t="shared" si="15"/>
        <v>7</v>
      </c>
      <c r="M191" s="1" t="str">
        <f t="shared" si="17"/>
        <v>Yes</v>
      </c>
      <c r="N191" s="1" t="str">
        <f t="shared" si="16"/>
        <v/>
      </c>
    </row>
    <row r="192" spans="1:14" ht="15" customHeight="1" x14ac:dyDescent="0.2">
      <c r="A192" s="633"/>
      <c r="B192" s="634"/>
      <c r="C192" s="634"/>
      <c r="D192" s="637"/>
      <c r="E192" s="27"/>
      <c r="F192" s="27"/>
      <c r="G192" s="29"/>
      <c r="H192" s="633"/>
      <c r="I192" s="634"/>
      <c r="J192" s="634"/>
      <c r="K192" s="637"/>
      <c r="L192" s="1">
        <f t="shared" si="15"/>
        <v>7</v>
      </c>
      <c r="M192" s="1" t="str">
        <f t="shared" si="17"/>
        <v>Yes</v>
      </c>
      <c r="N192" s="1" t="str">
        <f t="shared" si="16"/>
        <v/>
      </c>
    </row>
    <row r="193" spans="1:14" ht="15" customHeight="1" x14ac:dyDescent="0.2">
      <c r="A193" s="633"/>
      <c r="B193" s="634"/>
      <c r="C193" s="634"/>
      <c r="D193" s="637"/>
      <c r="E193" s="27"/>
      <c r="F193" s="27"/>
      <c r="G193" s="29"/>
      <c r="H193" s="633"/>
      <c r="I193" s="634"/>
      <c r="J193" s="634"/>
      <c r="K193" s="637"/>
      <c r="L193" s="1">
        <f t="shared" si="15"/>
        <v>7</v>
      </c>
      <c r="M193" s="1" t="str">
        <f t="shared" si="17"/>
        <v>Yes</v>
      </c>
      <c r="N193" s="1" t="str">
        <f t="shared" si="16"/>
        <v/>
      </c>
    </row>
    <row r="194" spans="1:14" ht="15" customHeight="1" x14ac:dyDescent="0.2">
      <c r="A194" s="633"/>
      <c r="B194" s="634"/>
      <c r="C194" s="634"/>
      <c r="D194" s="637"/>
      <c r="E194" s="27"/>
      <c r="F194" s="27"/>
      <c r="G194" s="29"/>
      <c r="H194" s="633"/>
      <c r="I194" s="634"/>
      <c r="J194" s="634"/>
      <c r="K194" s="637"/>
      <c r="L194" s="1">
        <f t="shared" si="15"/>
        <v>7</v>
      </c>
      <c r="M194" s="1" t="str">
        <f t="shared" si="17"/>
        <v>Yes</v>
      </c>
      <c r="N194" s="1" t="str">
        <f t="shared" si="16"/>
        <v/>
      </c>
    </row>
    <row r="195" spans="1:14" ht="15" customHeight="1" x14ac:dyDescent="0.2">
      <c r="A195" s="633"/>
      <c r="B195" s="634"/>
      <c r="C195" s="634"/>
      <c r="D195" s="637"/>
      <c r="E195" s="27"/>
      <c r="F195" s="27"/>
      <c r="G195" s="29"/>
      <c r="H195" s="633"/>
      <c r="I195" s="634"/>
      <c r="J195" s="634"/>
      <c r="K195" s="637"/>
      <c r="L195" s="1">
        <f t="shared" si="15"/>
        <v>7</v>
      </c>
      <c r="M195" s="1" t="str">
        <f t="shared" si="17"/>
        <v>Yes</v>
      </c>
      <c r="N195" s="1" t="str">
        <f t="shared" si="16"/>
        <v/>
      </c>
    </row>
    <row r="196" spans="1:14" ht="15" customHeight="1" x14ac:dyDescent="0.2">
      <c r="A196" s="633"/>
      <c r="B196" s="634"/>
      <c r="C196" s="634"/>
      <c r="D196" s="637"/>
      <c r="E196" s="27"/>
      <c r="F196" s="27"/>
      <c r="G196" s="29"/>
      <c r="H196" s="633"/>
      <c r="I196" s="634"/>
      <c r="J196" s="634"/>
      <c r="K196" s="637"/>
      <c r="L196" s="1">
        <f t="shared" si="15"/>
        <v>7</v>
      </c>
      <c r="M196" s="1" t="str">
        <f t="shared" si="17"/>
        <v>Yes</v>
      </c>
      <c r="N196" s="1" t="str">
        <f t="shared" si="16"/>
        <v/>
      </c>
    </row>
    <row r="197" spans="1:14" ht="15" customHeight="1" x14ac:dyDescent="0.2">
      <c r="A197" s="633"/>
      <c r="B197" s="634"/>
      <c r="C197" s="634"/>
      <c r="D197" s="637"/>
      <c r="E197" s="27"/>
      <c r="F197" s="27"/>
      <c r="G197" s="29"/>
      <c r="H197" s="633"/>
      <c r="I197" s="634"/>
      <c r="J197" s="634"/>
      <c r="K197" s="637"/>
      <c r="L197" s="1">
        <f t="shared" si="15"/>
        <v>7</v>
      </c>
      <c r="M197" s="1" t="str">
        <f t="shared" si="17"/>
        <v>Yes</v>
      </c>
      <c r="N197" s="1" t="str">
        <f t="shared" si="16"/>
        <v/>
      </c>
    </row>
    <row r="198" spans="1:14" ht="15" customHeight="1" x14ac:dyDescent="0.2">
      <c r="A198" s="633"/>
      <c r="B198" s="634"/>
      <c r="C198" s="634"/>
      <c r="D198" s="637"/>
      <c r="E198" s="27"/>
      <c r="F198" s="27"/>
      <c r="G198" s="29"/>
      <c r="H198" s="633"/>
      <c r="I198" s="634"/>
      <c r="J198" s="634"/>
      <c r="K198" s="637"/>
      <c r="L198" s="1">
        <f t="shared" si="15"/>
        <v>7</v>
      </c>
      <c r="M198" s="1" t="str">
        <f t="shared" si="17"/>
        <v>Yes</v>
      </c>
      <c r="N198" s="1" t="str">
        <f t="shared" si="16"/>
        <v/>
      </c>
    </row>
    <row r="199" spans="1:14" ht="15" customHeight="1" x14ac:dyDescent="0.2">
      <c r="A199" s="633"/>
      <c r="B199" s="634"/>
      <c r="C199" s="634"/>
      <c r="D199" s="637"/>
      <c r="E199" s="27"/>
      <c r="F199" s="27"/>
      <c r="G199" s="29"/>
      <c r="H199" s="633"/>
      <c r="I199" s="634"/>
      <c r="J199" s="634"/>
      <c r="K199" s="637"/>
      <c r="L199" s="1">
        <f t="shared" si="15"/>
        <v>7</v>
      </c>
      <c r="M199" s="1" t="str">
        <f t="shared" si="17"/>
        <v>Yes</v>
      </c>
      <c r="N199" s="1" t="str">
        <f t="shared" si="16"/>
        <v/>
      </c>
    </row>
    <row r="200" spans="1:14" ht="15" customHeight="1" x14ac:dyDescent="0.2">
      <c r="A200" s="633"/>
      <c r="B200" s="634"/>
      <c r="C200" s="634"/>
      <c r="D200" s="637"/>
      <c r="E200" s="27"/>
      <c r="F200" s="27"/>
      <c r="G200" s="29"/>
      <c r="H200" s="633"/>
      <c r="I200" s="634"/>
      <c r="J200" s="634"/>
      <c r="K200" s="637"/>
      <c r="L200" s="1">
        <f t="shared" si="15"/>
        <v>7</v>
      </c>
      <c r="M200" s="1" t="str">
        <f t="shared" si="17"/>
        <v>Yes</v>
      </c>
      <c r="N200" s="1" t="str">
        <f t="shared" si="16"/>
        <v/>
      </c>
    </row>
    <row r="201" spans="1:14" ht="15" customHeight="1" x14ac:dyDescent="0.2">
      <c r="A201" s="633"/>
      <c r="B201" s="634"/>
      <c r="C201" s="634"/>
      <c r="D201" s="637"/>
      <c r="E201" s="27"/>
      <c r="F201" s="27"/>
      <c r="G201" s="29"/>
      <c r="H201" s="633"/>
      <c r="I201" s="634"/>
      <c r="J201" s="634"/>
      <c r="K201" s="637"/>
      <c r="L201" s="1">
        <f t="shared" si="15"/>
        <v>7</v>
      </c>
      <c r="M201" s="1" t="str">
        <f t="shared" si="17"/>
        <v>Yes</v>
      </c>
      <c r="N201" s="1" t="str">
        <f t="shared" si="16"/>
        <v/>
      </c>
    </row>
    <row r="202" spans="1:14" ht="15" customHeight="1" x14ac:dyDescent="0.2">
      <c r="A202" s="633"/>
      <c r="B202" s="634"/>
      <c r="C202" s="634"/>
      <c r="D202" s="637"/>
      <c r="E202" s="27"/>
      <c r="F202" s="27"/>
      <c r="G202" s="29"/>
      <c r="H202" s="633"/>
      <c r="I202" s="634"/>
      <c r="J202" s="634"/>
      <c r="K202" s="637"/>
      <c r="L202" s="1">
        <f t="shared" si="15"/>
        <v>7</v>
      </c>
      <c r="M202" s="1" t="str">
        <f t="shared" si="17"/>
        <v>Yes</v>
      </c>
      <c r="N202" s="1" t="str">
        <f t="shared" si="16"/>
        <v/>
      </c>
    </row>
    <row r="203" spans="1:14" ht="15" customHeight="1" x14ac:dyDescent="0.2">
      <c r="A203" s="633"/>
      <c r="B203" s="634"/>
      <c r="C203" s="634"/>
      <c r="D203" s="637"/>
      <c r="E203" s="27"/>
      <c r="F203" s="27"/>
      <c r="G203" s="29"/>
      <c r="H203" s="633"/>
      <c r="I203" s="634"/>
      <c r="J203" s="634"/>
      <c r="K203" s="637"/>
      <c r="L203" s="1">
        <f t="shared" si="15"/>
        <v>7</v>
      </c>
      <c r="M203" s="1" t="str">
        <f t="shared" si="17"/>
        <v>Yes</v>
      </c>
      <c r="N203" s="1" t="str">
        <f t="shared" si="16"/>
        <v/>
      </c>
    </row>
    <row r="204" spans="1:14" ht="15" customHeight="1" x14ac:dyDescent="0.2">
      <c r="A204" s="633"/>
      <c r="B204" s="634"/>
      <c r="C204" s="634"/>
      <c r="D204" s="637"/>
      <c r="E204" s="27"/>
      <c r="F204" s="27"/>
      <c r="G204" s="29"/>
      <c r="H204" s="633"/>
      <c r="I204" s="634"/>
      <c r="J204" s="634"/>
      <c r="K204" s="637"/>
      <c r="L204" s="1">
        <f t="shared" si="15"/>
        <v>7</v>
      </c>
      <c r="M204" s="1" t="str">
        <f t="shared" si="17"/>
        <v>Yes</v>
      </c>
      <c r="N204" s="1" t="str">
        <f t="shared" si="16"/>
        <v/>
      </c>
    </row>
    <row r="205" spans="1:14" ht="15" customHeight="1" x14ac:dyDescent="0.2">
      <c r="A205" s="633"/>
      <c r="B205" s="634"/>
      <c r="C205" s="634"/>
      <c r="D205" s="637"/>
      <c r="E205" s="27"/>
      <c r="F205" s="27"/>
      <c r="G205" s="29"/>
      <c r="H205" s="633"/>
      <c r="I205" s="634"/>
      <c r="J205" s="634"/>
      <c r="K205" s="637"/>
      <c r="L205" s="1">
        <f t="shared" si="15"/>
        <v>7</v>
      </c>
      <c r="M205" s="1" t="str">
        <f t="shared" si="17"/>
        <v>Yes</v>
      </c>
      <c r="N205" s="1" t="str">
        <f t="shared" si="16"/>
        <v/>
      </c>
    </row>
    <row r="206" spans="1:14" ht="15" customHeight="1" x14ac:dyDescent="0.2">
      <c r="A206" s="633"/>
      <c r="B206" s="634"/>
      <c r="C206" s="634"/>
      <c r="D206" s="637"/>
      <c r="E206" s="27"/>
      <c r="F206" s="27"/>
      <c r="G206" s="29"/>
      <c r="H206" s="633"/>
      <c r="I206" s="634"/>
      <c r="J206" s="634"/>
      <c r="K206" s="637"/>
      <c r="L206" s="1">
        <f t="shared" si="15"/>
        <v>7</v>
      </c>
      <c r="M206" s="1" t="str">
        <f t="shared" si="17"/>
        <v>Yes</v>
      </c>
      <c r="N206" s="1" t="str">
        <f t="shared" si="16"/>
        <v/>
      </c>
    </row>
    <row r="207" spans="1:14" ht="15" customHeight="1" x14ac:dyDescent="0.2">
      <c r="A207" s="633"/>
      <c r="B207" s="634"/>
      <c r="C207" s="634"/>
      <c r="D207" s="637"/>
      <c r="E207" s="27"/>
      <c r="F207" s="27"/>
      <c r="G207" s="29"/>
      <c r="H207" s="633"/>
      <c r="I207" s="634"/>
      <c r="J207" s="634"/>
      <c r="K207" s="637"/>
      <c r="L207" s="1">
        <f t="shared" si="15"/>
        <v>7</v>
      </c>
      <c r="M207" s="1" t="str">
        <f t="shared" si="17"/>
        <v>Yes</v>
      </c>
      <c r="N207" s="1" t="str">
        <f t="shared" si="16"/>
        <v/>
      </c>
    </row>
    <row r="208" spans="1:14" ht="15" customHeight="1" x14ac:dyDescent="0.2">
      <c r="A208" s="633"/>
      <c r="B208" s="634"/>
      <c r="C208" s="634"/>
      <c r="D208" s="637"/>
      <c r="E208" s="27"/>
      <c r="F208" s="27"/>
      <c r="G208" s="29"/>
      <c r="H208" s="633"/>
      <c r="I208" s="634"/>
      <c r="J208" s="634"/>
      <c r="K208" s="637"/>
      <c r="L208" s="1">
        <f t="shared" si="15"/>
        <v>7</v>
      </c>
      <c r="M208" s="1" t="str">
        <f t="shared" si="17"/>
        <v>Yes</v>
      </c>
      <c r="N208" s="1" t="str">
        <f t="shared" si="16"/>
        <v/>
      </c>
    </row>
    <row r="209" spans="1:14" ht="15" customHeight="1" x14ac:dyDescent="0.2">
      <c r="A209" s="633"/>
      <c r="B209" s="634"/>
      <c r="C209" s="634"/>
      <c r="D209" s="637"/>
      <c r="E209" s="27"/>
      <c r="F209" s="27"/>
      <c r="G209" s="29"/>
      <c r="H209" s="633"/>
      <c r="I209" s="634"/>
      <c r="J209" s="634"/>
      <c r="K209" s="637"/>
      <c r="L209" s="1">
        <f t="shared" si="15"/>
        <v>7</v>
      </c>
      <c r="M209" s="1" t="str">
        <f t="shared" si="17"/>
        <v>Yes</v>
      </c>
      <c r="N209" s="1" t="str">
        <f t="shared" si="16"/>
        <v/>
      </c>
    </row>
    <row r="210" spans="1:14" ht="15" customHeight="1" x14ac:dyDescent="0.2">
      <c r="A210" s="633"/>
      <c r="B210" s="634"/>
      <c r="C210" s="634"/>
      <c r="D210" s="637"/>
      <c r="E210" s="27"/>
      <c r="F210" s="27"/>
      <c r="G210" s="29"/>
      <c r="H210" s="633"/>
      <c r="I210" s="634"/>
      <c r="J210" s="634"/>
      <c r="K210" s="637"/>
      <c r="L210" s="1">
        <f t="shared" si="15"/>
        <v>7</v>
      </c>
      <c r="M210" s="1" t="str">
        <f t="shared" si="17"/>
        <v>Yes</v>
      </c>
      <c r="N210" s="1" t="str">
        <f t="shared" si="16"/>
        <v/>
      </c>
    </row>
    <row r="211" spans="1:14" ht="15" customHeight="1" x14ac:dyDescent="0.2">
      <c r="A211" s="633"/>
      <c r="B211" s="634"/>
      <c r="C211" s="634"/>
      <c r="D211" s="637"/>
      <c r="E211" s="27"/>
      <c r="F211" s="27"/>
      <c r="G211" s="29"/>
      <c r="H211" s="633"/>
      <c r="I211" s="634"/>
      <c r="J211" s="634"/>
      <c r="K211" s="637"/>
      <c r="L211" s="1">
        <f t="shared" si="15"/>
        <v>7</v>
      </c>
      <c r="M211" s="1" t="str">
        <f t="shared" si="17"/>
        <v>Yes</v>
      </c>
      <c r="N211" s="1" t="str">
        <f t="shared" si="16"/>
        <v/>
      </c>
    </row>
    <row r="212" spans="1:14" ht="15" customHeight="1" x14ac:dyDescent="0.2">
      <c r="A212" s="633"/>
      <c r="B212" s="634"/>
      <c r="C212" s="634"/>
      <c r="D212" s="637"/>
      <c r="E212" s="27"/>
      <c r="F212" s="27"/>
      <c r="G212" s="29"/>
      <c r="H212" s="633"/>
      <c r="I212" s="634"/>
      <c r="J212" s="634"/>
      <c r="K212" s="637"/>
      <c r="L212" s="1">
        <f t="shared" si="15"/>
        <v>7</v>
      </c>
      <c r="M212" s="1" t="str">
        <f t="shared" si="17"/>
        <v>Yes</v>
      </c>
      <c r="N212" s="1" t="str">
        <f t="shared" si="16"/>
        <v/>
      </c>
    </row>
    <row r="213" spans="1:14" ht="15" customHeight="1" x14ac:dyDescent="0.2">
      <c r="A213" s="633"/>
      <c r="B213" s="634"/>
      <c r="C213" s="634"/>
      <c r="D213" s="637"/>
      <c r="E213" s="27"/>
      <c r="F213" s="27"/>
      <c r="G213" s="29"/>
      <c r="H213" s="633"/>
      <c r="I213" s="634"/>
      <c r="J213" s="634"/>
      <c r="K213" s="637"/>
      <c r="L213" s="1">
        <f t="shared" si="15"/>
        <v>7</v>
      </c>
      <c r="M213" s="1" t="str">
        <f t="shared" si="17"/>
        <v>Yes</v>
      </c>
      <c r="N213" s="1" t="str">
        <f t="shared" si="16"/>
        <v/>
      </c>
    </row>
    <row r="214" spans="1:14" ht="15" customHeight="1" x14ac:dyDescent="0.2">
      <c r="A214" s="751" t="s">
        <v>100</v>
      </c>
      <c r="B214" s="645"/>
      <c r="C214" s="645"/>
      <c r="D214" s="645"/>
      <c r="E214" s="645"/>
      <c r="F214" s="646"/>
      <c r="G214" s="647">
        <f>SUM(G189:G213)</f>
        <v>0</v>
      </c>
      <c r="H214" s="648"/>
      <c r="I214" s="648"/>
      <c r="J214" s="648"/>
      <c r="K214" s="752"/>
      <c r="M214" s="1">
        <f>COUNTIF(M189:M213,"Yes")</f>
        <v>25</v>
      </c>
    </row>
  </sheetData>
  <sheetProtection password="E686" sheet="1" objects="1" scenarios="1" formatRows="0"/>
  <mergeCells count="362">
    <mergeCell ref="A14:B14"/>
    <mergeCell ref="H14:K14"/>
    <mergeCell ref="A15:B15"/>
    <mergeCell ref="H15:K15"/>
    <mergeCell ref="A16:B16"/>
    <mergeCell ref="H16:K16"/>
    <mergeCell ref="A1:K2"/>
    <mergeCell ref="A3:K4"/>
    <mergeCell ref="A5:K6"/>
    <mergeCell ref="A7:B13"/>
    <mergeCell ref="C7:C13"/>
    <mergeCell ref="D7:D13"/>
    <mergeCell ref="E7:E13"/>
    <mergeCell ref="F7:F13"/>
    <mergeCell ref="G7:G13"/>
    <mergeCell ref="H7:K13"/>
    <mergeCell ref="A20:B20"/>
    <mergeCell ref="H20:K20"/>
    <mergeCell ref="A21:B21"/>
    <mergeCell ref="H21:K21"/>
    <mergeCell ref="A22:B22"/>
    <mergeCell ref="H22:K22"/>
    <mergeCell ref="A17:B17"/>
    <mergeCell ref="H17:K17"/>
    <mergeCell ref="A18:B18"/>
    <mergeCell ref="H18:K18"/>
    <mergeCell ref="A19:B19"/>
    <mergeCell ref="H19:K19"/>
    <mergeCell ref="A26:B26"/>
    <mergeCell ref="H26:K26"/>
    <mergeCell ref="A27:B27"/>
    <mergeCell ref="H27:K27"/>
    <mergeCell ref="A28:B28"/>
    <mergeCell ref="H28:K28"/>
    <mergeCell ref="A23:B23"/>
    <mergeCell ref="H23:K23"/>
    <mergeCell ref="A24:B24"/>
    <mergeCell ref="H24:K24"/>
    <mergeCell ref="A25:B25"/>
    <mergeCell ref="H25:K25"/>
    <mergeCell ref="A32:B32"/>
    <mergeCell ref="H32:K32"/>
    <mergeCell ref="A33:B33"/>
    <mergeCell ref="H33:K33"/>
    <mergeCell ref="A34:B34"/>
    <mergeCell ref="H34:K34"/>
    <mergeCell ref="A29:B29"/>
    <mergeCell ref="H29:K29"/>
    <mergeCell ref="A30:B30"/>
    <mergeCell ref="H30:K30"/>
    <mergeCell ref="A31:B31"/>
    <mergeCell ref="H31:K31"/>
    <mergeCell ref="A38:B38"/>
    <mergeCell ref="H38:K38"/>
    <mergeCell ref="A39:D39"/>
    <mergeCell ref="G39:J39"/>
    <mergeCell ref="A40:K40"/>
    <mergeCell ref="A41:K41"/>
    <mergeCell ref="A35:B35"/>
    <mergeCell ref="H35:K35"/>
    <mergeCell ref="A36:B36"/>
    <mergeCell ref="H36:K36"/>
    <mergeCell ref="A37:B37"/>
    <mergeCell ref="H37:K37"/>
    <mergeCell ref="A49:D49"/>
    <mergeCell ref="H49:K49"/>
    <mergeCell ref="A50:D50"/>
    <mergeCell ref="H50:K50"/>
    <mergeCell ref="A51:D51"/>
    <mergeCell ref="H51:K51"/>
    <mergeCell ref="A42:K42"/>
    <mergeCell ref="A43:D48"/>
    <mergeCell ref="E43:E48"/>
    <mergeCell ref="F43:F48"/>
    <mergeCell ref="G43:G48"/>
    <mergeCell ref="H43:K48"/>
    <mergeCell ref="A55:D55"/>
    <mergeCell ref="H55:K55"/>
    <mergeCell ref="A56:D56"/>
    <mergeCell ref="H56:K56"/>
    <mergeCell ref="A57:D57"/>
    <mergeCell ref="H57:K57"/>
    <mergeCell ref="A52:D52"/>
    <mergeCell ref="H52:K52"/>
    <mergeCell ref="A53:D53"/>
    <mergeCell ref="H53:K53"/>
    <mergeCell ref="A54:D54"/>
    <mergeCell ref="H54:K54"/>
    <mergeCell ref="A61:D61"/>
    <mergeCell ref="H61:K61"/>
    <mergeCell ref="A62:D62"/>
    <mergeCell ref="H62:K62"/>
    <mergeCell ref="A63:D63"/>
    <mergeCell ref="H63:K63"/>
    <mergeCell ref="A58:D58"/>
    <mergeCell ref="H58:K58"/>
    <mergeCell ref="A59:D59"/>
    <mergeCell ref="H59:K59"/>
    <mergeCell ref="A60:D60"/>
    <mergeCell ref="H60:K60"/>
    <mergeCell ref="A67:D67"/>
    <mergeCell ref="H67:K67"/>
    <mergeCell ref="A68:D68"/>
    <mergeCell ref="H68:K68"/>
    <mergeCell ref="A69:D69"/>
    <mergeCell ref="H69:K69"/>
    <mergeCell ref="A64:D64"/>
    <mergeCell ref="H64:K64"/>
    <mergeCell ref="A65:D65"/>
    <mergeCell ref="H65:K65"/>
    <mergeCell ref="A66:D66"/>
    <mergeCell ref="H66:K66"/>
    <mergeCell ref="A73:D73"/>
    <mergeCell ref="H73:K73"/>
    <mergeCell ref="A74:F74"/>
    <mergeCell ref="G74:K74"/>
    <mergeCell ref="A75:K75"/>
    <mergeCell ref="A76:K76"/>
    <mergeCell ref="A70:D70"/>
    <mergeCell ref="H70:K70"/>
    <mergeCell ref="A71:D71"/>
    <mergeCell ref="H71:K71"/>
    <mergeCell ref="A72:D72"/>
    <mergeCell ref="H72:K72"/>
    <mergeCell ref="A84:D84"/>
    <mergeCell ref="H84:K84"/>
    <mergeCell ref="A85:D85"/>
    <mergeCell ref="H85:K85"/>
    <mergeCell ref="A86:D86"/>
    <mergeCell ref="H86:K86"/>
    <mergeCell ref="A77:K77"/>
    <mergeCell ref="A78:D83"/>
    <mergeCell ref="E78:E83"/>
    <mergeCell ref="F78:F83"/>
    <mergeCell ref="G78:G83"/>
    <mergeCell ref="H78:K83"/>
    <mergeCell ref="A90:D90"/>
    <mergeCell ref="H90:K90"/>
    <mergeCell ref="A91:D91"/>
    <mergeCell ref="H91:K91"/>
    <mergeCell ref="A92:D92"/>
    <mergeCell ref="H92:K92"/>
    <mergeCell ref="A87:D87"/>
    <mergeCell ref="H87:K87"/>
    <mergeCell ref="A88:D88"/>
    <mergeCell ref="H88:K88"/>
    <mergeCell ref="A89:D89"/>
    <mergeCell ref="H89:K89"/>
    <mergeCell ref="A96:D96"/>
    <mergeCell ref="H96:K96"/>
    <mergeCell ref="A97:D97"/>
    <mergeCell ref="H97:K97"/>
    <mergeCell ref="A98:D98"/>
    <mergeCell ref="H98:K98"/>
    <mergeCell ref="A93:D93"/>
    <mergeCell ref="H93:K93"/>
    <mergeCell ref="A94:D94"/>
    <mergeCell ref="H94:K94"/>
    <mergeCell ref="A95:D95"/>
    <mergeCell ref="H95:K95"/>
    <mergeCell ref="A102:D102"/>
    <mergeCell ref="H102:K102"/>
    <mergeCell ref="A103:D103"/>
    <mergeCell ref="H103:K103"/>
    <mergeCell ref="A104:D104"/>
    <mergeCell ref="H104:K104"/>
    <mergeCell ref="A99:D99"/>
    <mergeCell ref="H99:K99"/>
    <mergeCell ref="A100:D100"/>
    <mergeCell ref="H100:K100"/>
    <mergeCell ref="A101:D101"/>
    <mergeCell ref="H101:K101"/>
    <mergeCell ref="A108:D108"/>
    <mergeCell ref="H108:K108"/>
    <mergeCell ref="A109:F109"/>
    <mergeCell ref="G109:K109"/>
    <mergeCell ref="A110:K110"/>
    <mergeCell ref="A111:K111"/>
    <mergeCell ref="A105:D105"/>
    <mergeCell ref="H105:K105"/>
    <mergeCell ref="A106:D106"/>
    <mergeCell ref="H106:K106"/>
    <mergeCell ref="A107:D107"/>
    <mergeCell ref="H107:K107"/>
    <mergeCell ref="A119:D119"/>
    <mergeCell ref="H119:K119"/>
    <mergeCell ref="A120:D120"/>
    <mergeCell ref="H120:K120"/>
    <mergeCell ref="A121:D121"/>
    <mergeCell ref="H121:K121"/>
    <mergeCell ref="A112:K112"/>
    <mergeCell ref="A113:D118"/>
    <mergeCell ref="E113:E118"/>
    <mergeCell ref="F113:F118"/>
    <mergeCell ref="G113:G118"/>
    <mergeCell ref="H113:K118"/>
    <mergeCell ref="A125:D125"/>
    <mergeCell ref="H125:K125"/>
    <mergeCell ref="A126:D126"/>
    <mergeCell ref="H126:K126"/>
    <mergeCell ref="A127:D127"/>
    <mergeCell ref="H127:K127"/>
    <mergeCell ref="A122:D122"/>
    <mergeCell ref="H122:K122"/>
    <mergeCell ref="A123:D123"/>
    <mergeCell ref="H123:K123"/>
    <mergeCell ref="A124:D124"/>
    <mergeCell ref="H124:K124"/>
    <mergeCell ref="A131:D131"/>
    <mergeCell ref="H131:K131"/>
    <mergeCell ref="A132:D132"/>
    <mergeCell ref="H132:K132"/>
    <mergeCell ref="A133:D133"/>
    <mergeCell ref="H133:K133"/>
    <mergeCell ref="A128:D128"/>
    <mergeCell ref="H128:K128"/>
    <mergeCell ref="A129:D129"/>
    <mergeCell ref="H129:K129"/>
    <mergeCell ref="A130:D130"/>
    <mergeCell ref="H130:K130"/>
    <mergeCell ref="A137:D137"/>
    <mergeCell ref="H137:K137"/>
    <mergeCell ref="A138:D138"/>
    <mergeCell ref="H138:K138"/>
    <mergeCell ref="A139:D139"/>
    <mergeCell ref="H139:K139"/>
    <mergeCell ref="A134:D134"/>
    <mergeCell ref="H134:K134"/>
    <mergeCell ref="A135:D135"/>
    <mergeCell ref="H135:K135"/>
    <mergeCell ref="A136:D136"/>
    <mergeCell ref="H136:K136"/>
    <mergeCell ref="A143:D143"/>
    <mergeCell ref="H143:K143"/>
    <mergeCell ref="A144:F144"/>
    <mergeCell ref="G144:K144"/>
    <mergeCell ref="A145:K145"/>
    <mergeCell ref="A146:K146"/>
    <mergeCell ref="A140:D140"/>
    <mergeCell ref="H140:K140"/>
    <mergeCell ref="A141:D141"/>
    <mergeCell ref="H141:K141"/>
    <mergeCell ref="A142:D142"/>
    <mergeCell ref="H142:K142"/>
    <mergeCell ref="A154:D154"/>
    <mergeCell ref="H154:K154"/>
    <mergeCell ref="A155:D155"/>
    <mergeCell ref="H155:K155"/>
    <mergeCell ref="A156:D156"/>
    <mergeCell ref="H156:K156"/>
    <mergeCell ref="A147:K147"/>
    <mergeCell ref="A148:D153"/>
    <mergeCell ref="E148:E153"/>
    <mergeCell ref="F148:F153"/>
    <mergeCell ref="G148:G153"/>
    <mergeCell ref="H148:K153"/>
    <mergeCell ref="A160:D160"/>
    <mergeCell ref="H160:K160"/>
    <mergeCell ref="A161:D161"/>
    <mergeCell ref="H161:K161"/>
    <mergeCell ref="A162:D162"/>
    <mergeCell ref="H162:K162"/>
    <mergeCell ref="A157:D157"/>
    <mergeCell ref="H157:K157"/>
    <mergeCell ref="A158:D158"/>
    <mergeCell ref="H158:K158"/>
    <mergeCell ref="A159:D159"/>
    <mergeCell ref="H159:K159"/>
    <mergeCell ref="A166:D166"/>
    <mergeCell ref="H166:K166"/>
    <mergeCell ref="A167:D167"/>
    <mergeCell ref="H167:K167"/>
    <mergeCell ref="A168:D168"/>
    <mergeCell ref="H168:K168"/>
    <mergeCell ref="A163:D163"/>
    <mergeCell ref="H163:K163"/>
    <mergeCell ref="A164:D164"/>
    <mergeCell ref="H164:K164"/>
    <mergeCell ref="A165:D165"/>
    <mergeCell ref="H165:K165"/>
    <mergeCell ref="A172:D172"/>
    <mergeCell ref="H172:K172"/>
    <mergeCell ref="A173:D173"/>
    <mergeCell ref="H173:K173"/>
    <mergeCell ref="A174:D174"/>
    <mergeCell ref="H174:K174"/>
    <mergeCell ref="A169:D169"/>
    <mergeCell ref="H169:K169"/>
    <mergeCell ref="A170:D170"/>
    <mergeCell ref="H170:K170"/>
    <mergeCell ref="A171:D171"/>
    <mergeCell ref="H171:K171"/>
    <mergeCell ref="A178:D178"/>
    <mergeCell ref="H178:K178"/>
    <mergeCell ref="A179:F179"/>
    <mergeCell ref="G179:K179"/>
    <mergeCell ref="A180:K180"/>
    <mergeCell ref="A181:K181"/>
    <mergeCell ref="A175:D175"/>
    <mergeCell ref="H175:K175"/>
    <mergeCell ref="A176:D176"/>
    <mergeCell ref="H176:K176"/>
    <mergeCell ref="A177:D177"/>
    <mergeCell ref="H177:K177"/>
    <mergeCell ref="A189:D189"/>
    <mergeCell ref="H189:K189"/>
    <mergeCell ref="A190:D190"/>
    <mergeCell ref="H190:K190"/>
    <mergeCell ref="A191:D191"/>
    <mergeCell ref="H191:K191"/>
    <mergeCell ref="A182:K182"/>
    <mergeCell ref="A183:D188"/>
    <mergeCell ref="E183:E188"/>
    <mergeCell ref="F183:F188"/>
    <mergeCell ref="G183:G188"/>
    <mergeCell ref="H183:K188"/>
    <mergeCell ref="A195:D195"/>
    <mergeCell ref="H195:K195"/>
    <mergeCell ref="A196:D196"/>
    <mergeCell ref="H196:K196"/>
    <mergeCell ref="A197:D197"/>
    <mergeCell ref="H197:K197"/>
    <mergeCell ref="A192:D192"/>
    <mergeCell ref="H192:K192"/>
    <mergeCell ref="A193:D193"/>
    <mergeCell ref="H193:K193"/>
    <mergeCell ref="A194:D194"/>
    <mergeCell ref="H194:K194"/>
    <mergeCell ref="A201:D201"/>
    <mergeCell ref="H201:K201"/>
    <mergeCell ref="A202:D202"/>
    <mergeCell ref="H202:K202"/>
    <mergeCell ref="A203:D203"/>
    <mergeCell ref="H203:K203"/>
    <mergeCell ref="A198:D198"/>
    <mergeCell ref="H198:K198"/>
    <mergeCell ref="A199:D199"/>
    <mergeCell ref="H199:K199"/>
    <mergeCell ref="A200:D200"/>
    <mergeCell ref="H200:K200"/>
    <mergeCell ref="A207:D207"/>
    <mergeCell ref="H207:K207"/>
    <mergeCell ref="A208:D208"/>
    <mergeCell ref="H208:K208"/>
    <mergeCell ref="A209:D209"/>
    <mergeCell ref="H209:K209"/>
    <mergeCell ref="A204:D204"/>
    <mergeCell ref="H204:K204"/>
    <mergeCell ref="A205:D205"/>
    <mergeCell ref="H205:K205"/>
    <mergeCell ref="A206:D206"/>
    <mergeCell ref="H206:K206"/>
    <mergeCell ref="A213:D213"/>
    <mergeCell ref="H213:K213"/>
    <mergeCell ref="A214:F214"/>
    <mergeCell ref="G214:K214"/>
    <mergeCell ref="A210:D210"/>
    <mergeCell ref="H210:K210"/>
    <mergeCell ref="A211:D211"/>
    <mergeCell ref="H211:K211"/>
    <mergeCell ref="A212:D212"/>
    <mergeCell ref="H212:K212"/>
  </mergeCells>
  <dataValidations count="6">
    <dataValidation type="list" allowBlank="1" showInputMessage="1" showErrorMessage="1" sqref="E14:E38 F49:F73 F84:F108 F119:F143 F154:F178 F189:F213">
      <formula1>setasides2</formula1>
    </dataValidation>
    <dataValidation allowBlank="1" showInputMessage="1" showErrorMessage="1" promptTitle="% of FTE" prompt="Input a percentage or decimal showing the portion of this individual's total salary and benefits to be paid from these funds." sqref="F14:F38"/>
    <dataValidation allowBlank="1" showInputMessage="1" showErrorMessage="1" promptTitle="Total Amount" prompt="Input the total amount of these funds being used to fund this individual's salary and benefits." sqref="G14:G38"/>
    <dataValidation type="list" allowBlank="1" showInputMessage="1" showErrorMessage="1" sqref="E119:E143 E154:E178 E84:E108 D14:D38 E49:E73 E189:E213">
      <formula1>program</formula1>
    </dataValidation>
    <dataValidation allowBlank="1" showErrorMessage="1" sqref="G49:G73 G84:G108 G119:G143 G154:G178 G189:G213"/>
    <dataValidation type="textLength" operator="lessThan" allowBlank="1" showInputMessage="1" showErrorMessage="1" errorTitle="Too Much Text" error="Provide a brief description using no more than 100 characters here.  A more full description should be included within the summary worksheet (tab 12)." sqref="H14:K38 H49:K73 H84:K108 H119:K143 H154:K178 H189:K213">
      <formula1>101</formula1>
    </dataValidation>
  </dataValidations>
  <pageMargins left="0.75" right="0.75" top="1" bottom="1" header="0.5" footer="0.5"/>
  <pageSetup scale="76" fitToHeight="0" orientation="landscape" r:id="rId1"/>
  <headerFooter alignWithMargins="0">
    <oddHeader>&amp;LFFY 2012 Consolidated Application&amp;C&amp;A&amp;R&amp;P of &amp;N</oddHeader>
  </headerFooter>
  <rowBreaks count="5" manualBreakCount="5">
    <brk id="39" max="16383" man="1"/>
    <brk id="75" max="10" man="1"/>
    <brk id="110" max="10" man="1"/>
    <brk id="145" max="10" man="1"/>
    <brk id="180"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86"/>
  <sheetViews>
    <sheetView zoomScale="90" zoomScaleNormal="90" workbookViewId="0">
      <selection activeCell="E13" sqref="E13"/>
    </sheetView>
  </sheetViews>
  <sheetFormatPr defaultColWidth="9.140625" defaultRowHeight="12.75" x14ac:dyDescent="0.2"/>
  <cols>
    <col min="1" max="10" width="15.7109375" style="2" customWidth="1"/>
    <col min="11" max="11" width="15.7109375" style="1" customWidth="1"/>
    <col min="12" max="16384" width="9.140625" style="2"/>
  </cols>
  <sheetData>
    <row r="1" spans="1:11" ht="13.5" customHeight="1" thickTop="1" x14ac:dyDescent="0.2">
      <c r="A1" s="780" t="s">
        <v>126</v>
      </c>
      <c r="B1" s="781"/>
      <c r="C1" s="781"/>
      <c r="D1" s="730" t="s">
        <v>56</v>
      </c>
      <c r="E1" s="731"/>
      <c r="F1" s="731"/>
      <c r="G1" s="731"/>
      <c r="H1" s="731"/>
      <c r="I1" s="731"/>
      <c r="J1" s="731"/>
      <c r="K1" s="700" t="str">
        <f>IF(J85=('1'!E28-'3'!F19),"Your budget is now complete.","The total amount for which you have budgeted does not match the unconsolidated portion of the LEA's Title II, Part A allocation.")</f>
        <v>Your budget is now complete.</v>
      </c>
    </row>
    <row r="2" spans="1:11" ht="12.75" customHeight="1" x14ac:dyDescent="0.2">
      <c r="A2" s="782"/>
      <c r="B2" s="783"/>
      <c r="C2" s="783"/>
      <c r="D2" s="732"/>
      <c r="E2" s="733"/>
      <c r="F2" s="733"/>
      <c r="G2" s="733"/>
      <c r="H2" s="733"/>
      <c r="I2" s="733"/>
      <c r="J2" s="733"/>
      <c r="K2" s="701"/>
    </row>
    <row r="3" spans="1:11" ht="12.75" customHeight="1" x14ac:dyDescent="0.2">
      <c r="A3" s="782"/>
      <c r="B3" s="783"/>
      <c r="C3" s="783"/>
      <c r="D3" s="732"/>
      <c r="E3" s="733"/>
      <c r="F3" s="733"/>
      <c r="G3" s="733"/>
      <c r="H3" s="733"/>
      <c r="I3" s="733"/>
      <c r="J3" s="733"/>
      <c r="K3" s="701"/>
    </row>
    <row r="4" spans="1:11" ht="13.5" customHeight="1" thickBot="1" x14ac:dyDescent="0.25">
      <c r="A4" s="782"/>
      <c r="B4" s="783"/>
      <c r="C4" s="783"/>
      <c r="D4" s="734"/>
      <c r="E4" s="735"/>
      <c r="F4" s="735"/>
      <c r="G4" s="735"/>
      <c r="H4" s="735"/>
      <c r="I4" s="735"/>
      <c r="J4" s="735"/>
      <c r="K4" s="701"/>
    </row>
    <row r="5" spans="1:11" ht="12.75" customHeight="1" x14ac:dyDescent="0.2">
      <c r="A5" s="782"/>
      <c r="B5" s="783"/>
      <c r="C5" s="783"/>
      <c r="D5" s="703" t="s">
        <v>57</v>
      </c>
      <c r="E5" s="703" t="s">
        <v>58</v>
      </c>
      <c r="F5" s="703" t="s">
        <v>136</v>
      </c>
      <c r="G5" s="703" t="s">
        <v>138</v>
      </c>
      <c r="H5" s="703" t="s">
        <v>61</v>
      </c>
      <c r="I5" s="703" t="s">
        <v>115</v>
      </c>
      <c r="J5" s="705" t="s">
        <v>116</v>
      </c>
      <c r="K5" s="701"/>
    </row>
    <row r="6" spans="1:11" ht="12.75" customHeight="1" x14ac:dyDescent="0.2">
      <c r="A6" s="782"/>
      <c r="B6" s="783"/>
      <c r="C6" s="783"/>
      <c r="D6" s="704"/>
      <c r="E6" s="704"/>
      <c r="F6" s="704"/>
      <c r="G6" s="704"/>
      <c r="H6" s="704"/>
      <c r="I6" s="704"/>
      <c r="J6" s="706"/>
      <c r="K6" s="701"/>
    </row>
    <row r="7" spans="1:11" ht="12.75" customHeight="1" x14ac:dyDescent="0.2">
      <c r="A7" s="782"/>
      <c r="B7" s="783"/>
      <c r="C7" s="783"/>
      <c r="D7" s="704"/>
      <c r="E7" s="704"/>
      <c r="F7" s="704"/>
      <c r="G7" s="704"/>
      <c r="H7" s="704"/>
      <c r="I7" s="704"/>
      <c r="J7" s="707"/>
      <c r="K7" s="701"/>
    </row>
    <row r="8" spans="1:11" ht="13.5" customHeight="1" thickBot="1" x14ac:dyDescent="0.25">
      <c r="A8" s="784"/>
      <c r="B8" s="783"/>
      <c r="C8" s="783"/>
      <c r="D8" s="704"/>
      <c r="E8" s="704"/>
      <c r="F8" s="704"/>
      <c r="G8" s="704"/>
      <c r="H8" s="704"/>
      <c r="I8" s="704"/>
      <c r="J8" s="708"/>
      <c r="K8" s="701"/>
    </row>
    <row r="9" spans="1:11" ht="12.75" customHeight="1" x14ac:dyDescent="0.2">
      <c r="A9" s="712" t="s">
        <v>63</v>
      </c>
      <c r="B9" s="715" t="s">
        <v>50</v>
      </c>
      <c r="C9" s="35" t="s">
        <v>119</v>
      </c>
      <c r="D9" s="47">
        <f>SUMIF('13'!$N$14:$N$38,"InstructionRecruit./Retention",'13'!$G$14:$G$38)</f>
        <v>0</v>
      </c>
      <c r="E9" s="48">
        <f>SUMIF('13'!$N$49:$N$73,"InstructionRecruit./Retention",'13'!$G$49:$G$73)</f>
        <v>0</v>
      </c>
      <c r="F9" s="48">
        <f>SUMIF('13'!$N$84:$N$108,"InstructionRecruit./Retention",'13'!$G$84:$G$108)</f>
        <v>0</v>
      </c>
      <c r="G9" s="48">
        <f>SUMIF('13'!$N$119:$N$143,"InstructionRecruit./Retention",'13'!$G$119:$G$143)</f>
        <v>0</v>
      </c>
      <c r="H9" s="48">
        <f>SUMIF('13'!$N$154:$N$178,"InstructionRecruit./Retention",'13'!$G$154:$G$178)</f>
        <v>0</v>
      </c>
      <c r="I9" s="48">
        <f>SUMIF('13'!$N$189:$N$213,"InstructionRecruit./Retention",'13'!$G$189:$G$213)</f>
        <v>0</v>
      </c>
      <c r="J9" s="174">
        <f t="shared" ref="J9:J74" si="0">SUM(D9:I9)</f>
        <v>0</v>
      </c>
      <c r="K9" s="701"/>
    </row>
    <row r="10" spans="1:11" ht="12.75" customHeight="1" x14ac:dyDescent="0.2">
      <c r="A10" s="713"/>
      <c r="B10" s="717"/>
      <c r="C10" s="36" t="s">
        <v>109</v>
      </c>
      <c r="D10" s="49">
        <f>SUMIF('13'!$N$14:$N$38,"InstructionProf. Development",'13'!$G$14:$G$38)</f>
        <v>0</v>
      </c>
      <c r="E10" s="50">
        <f>SUMIF('13'!$N$49:$N$73,"InstructionProf. Development",'13'!$G$49:$G$73)</f>
        <v>0</v>
      </c>
      <c r="F10" s="50">
        <f>SUMIF('13'!$N$84:$N$108,"InstructionProf. Development",'13'!$G$84:$G$108)</f>
        <v>0</v>
      </c>
      <c r="G10" s="50">
        <f>SUMIF('13'!$N$119:$N$143,"InstructionProf. Development",'13'!$G$119:$G$143)</f>
        <v>0</v>
      </c>
      <c r="H10" s="50">
        <f>SUMIF('13'!$N$154:$N$178,"InstructionProf. Development",'13'!$G$154:$G$178)</f>
        <v>0</v>
      </c>
      <c r="I10" s="50">
        <f>SUMIF('13'!$N$189:$N$213,"InstructionProf. Development",'13'!$G$189:$G$213)</f>
        <v>0</v>
      </c>
      <c r="J10" s="175">
        <f t="shared" si="0"/>
        <v>0</v>
      </c>
      <c r="K10" s="701"/>
    </row>
    <row r="11" spans="1:11" ht="12.75" customHeight="1" x14ac:dyDescent="0.2">
      <c r="A11" s="713"/>
      <c r="B11" s="717"/>
      <c r="C11" s="36" t="s">
        <v>125</v>
      </c>
      <c r="D11" s="49">
        <f>SUMIF('13'!$N$14:$N$38,"InstructionMentoring/Induction",'13'!$G$14:$G$38)</f>
        <v>0</v>
      </c>
      <c r="E11" s="50">
        <f>SUMIF('13'!$N$49:$N$73,"InstructionMentoring/Induction",'13'!$G$49:$G$73)</f>
        <v>0</v>
      </c>
      <c r="F11" s="50">
        <f>SUMIF('13'!$N$84:$N$108,"InstructionMentoring/Induction",'13'!$G$84:$G$108)</f>
        <v>0</v>
      </c>
      <c r="G11" s="50">
        <f>SUMIF('13'!$N$119:$N$143,"InstructionMentoring/Induction",'13'!$G$119:$G$143)</f>
        <v>0</v>
      </c>
      <c r="H11" s="50">
        <f>SUMIF('13'!$N$154:$N$178,"InstructionMentoring/Induction",'13'!$G$154:$G$178)</f>
        <v>0</v>
      </c>
      <c r="I11" s="50">
        <f>SUMIF('13'!$N$189:$N$213,"InstructionMentoring/Induction",'13'!$G$189:$G$213)</f>
        <v>0</v>
      </c>
      <c r="J11" s="175">
        <f t="shared" si="0"/>
        <v>0</v>
      </c>
      <c r="K11" s="701"/>
    </row>
    <row r="12" spans="1:11" ht="12.75" customHeight="1" x14ac:dyDescent="0.2">
      <c r="A12" s="713"/>
      <c r="B12" s="717"/>
      <c r="C12" s="36" t="s">
        <v>122</v>
      </c>
      <c r="D12" s="49">
        <f>SUMIF('13'!$N$14:$N$38,"InstructionTeacher Testing",'13'!$G$14:$G$38)</f>
        <v>0</v>
      </c>
      <c r="E12" s="50">
        <f>SUMIF('13'!$N$49:$N$73,"InstructionTeacher Testing",'13'!$G$49:$G$73)</f>
        <v>0</v>
      </c>
      <c r="F12" s="50">
        <f>SUMIF('13'!$N$84:$N$108,"InstructionTeacher Testing",'13'!$G$84:$G$108)</f>
        <v>0</v>
      </c>
      <c r="G12" s="50">
        <f>SUMIF('13'!$N$119:$N$143,"InstructionTeacher Testing",'13'!$G$119:$G$143)</f>
        <v>0</v>
      </c>
      <c r="H12" s="50">
        <f>SUMIF('13'!$N$154:$N$178,"InstructionTeacher Testing",'13'!$G$154:$G$178)</f>
        <v>0</v>
      </c>
      <c r="I12" s="50">
        <f>SUMIF('13'!$N$189:$N$213,"InstructionTeacher Testing",'13'!$G$189:$G$213)</f>
        <v>0</v>
      </c>
      <c r="J12" s="175">
        <f t="shared" si="0"/>
        <v>0</v>
      </c>
      <c r="K12" s="701"/>
    </row>
    <row r="13" spans="1:11" ht="12.75" customHeight="1" x14ac:dyDescent="0.2">
      <c r="A13" s="713"/>
      <c r="B13" s="717"/>
      <c r="C13" s="36" t="s">
        <v>124</v>
      </c>
      <c r="D13" s="49">
        <f>SUMIF('13'!$N$14:$N$38,"InstructionPrincipal Development",'13'!$G$14:$G$38)</f>
        <v>0</v>
      </c>
      <c r="E13" s="50">
        <f>SUMIF('13'!$N$49:$N$73,"InstructionPrincipal Development",'13'!$G$49:$G$73)</f>
        <v>0</v>
      </c>
      <c r="F13" s="50">
        <f>SUMIF('13'!$N$84:$N$108,"InstructionPrincipal Development",'13'!$G$84:$G$108)</f>
        <v>0</v>
      </c>
      <c r="G13" s="50">
        <f>SUMIF('13'!$N$119:$N$143,"InstructionPrincipal Development",'13'!$G$119:$G$143)</f>
        <v>0</v>
      </c>
      <c r="H13" s="50">
        <f>SUMIF('13'!$N$154:$N$178,"InstructionPrincipal Development",'13'!$G$154:$G$178)</f>
        <v>0</v>
      </c>
      <c r="I13" s="50">
        <f>SUMIF('13'!$N$189:$N$213,"InstructionPrincipal Development",'13'!$G$189:$G$213)</f>
        <v>0</v>
      </c>
      <c r="J13" s="175">
        <f t="shared" si="0"/>
        <v>0</v>
      </c>
      <c r="K13" s="701"/>
    </row>
    <row r="14" spans="1:11" ht="12.75" customHeight="1" x14ac:dyDescent="0.2">
      <c r="A14" s="713"/>
      <c r="B14" s="717"/>
      <c r="C14" s="36" t="s">
        <v>123</v>
      </c>
      <c r="D14" s="49">
        <f>SUMIF('13'!$N$14:$N$38,"InstructionMerit Pay",'13'!$G$14:$G$38)</f>
        <v>0</v>
      </c>
      <c r="E14" s="50">
        <f>SUMIF('13'!$N$49:$N$73,"InstructionMerit Pay",'13'!$G$49:$G$73)</f>
        <v>0</v>
      </c>
      <c r="F14" s="50">
        <f>SUMIF('13'!$N$84:$N$108,"InstructionMerit Pay",'13'!$G$84:$G$108)</f>
        <v>0</v>
      </c>
      <c r="G14" s="50">
        <f>SUMIF('13'!$N$119:$N$143,"InstructionMerit Pay",'13'!$G$119:$G$143)</f>
        <v>0</v>
      </c>
      <c r="H14" s="50">
        <f>SUMIF('13'!$N$154:$N$178,"InstructionMerit Pay",'13'!$G$154:$G$178)</f>
        <v>0</v>
      </c>
      <c r="I14" s="50">
        <f>SUMIF('13'!$N$189:$N$213,"InstructionMerit Pay",'13'!$G$189:$G$213)</f>
        <v>0</v>
      </c>
      <c r="J14" s="175">
        <f t="shared" si="0"/>
        <v>0</v>
      </c>
      <c r="K14" s="701"/>
    </row>
    <row r="15" spans="1:11" ht="12.75" customHeight="1" x14ac:dyDescent="0.2">
      <c r="A15" s="713"/>
      <c r="B15" s="717"/>
      <c r="C15" s="36" t="s">
        <v>120</v>
      </c>
      <c r="D15" s="49">
        <f>SUMIF('13'!$N$14:$N$38,"InstructionClass-size Reduction",'13'!$G$14:$G$38)</f>
        <v>0</v>
      </c>
      <c r="E15" s="50">
        <f>SUMIF('13'!$N$49:$N$73,"InstructionClass-size Reduction",'13'!$G$49:$G$73)</f>
        <v>0</v>
      </c>
      <c r="F15" s="50">
        <f>SUMIF('13'!$N$84:$N$108,"InstructionClass-size Reduction",'13'!$G$84:$G$108)</f>
        <v>0</v>
      </c>
      <c r="G15" s="50">
        <f>SUMIF('13'!$N$119:$N$143,"InstructionClass-size Reduction",'13'!$G$119:$G$143)</f>
        <v>0</v>
      </c>
      <c r="H15" s="50">
        <f>SUMIF('13'!$N$154:$N$178,"InstructionClass-size Reduction",'13'!$G$154:$G$178)</f>
        <v>0</v>
      </c>
      <c r="I15" s="50">
        <f>SUMIF('13'!$N$189:$N$213,"InstructionClass-size Reduction",'13'!$G$189:$G$213)</f>
        <v>0</v>
      </c>
      <c r="J15" s="175">
        <f t="shared" si="0"/>
        <v>0</v>
      </c>
      <c r="K15" s="701"/>
    </row>
    <row r="16" spans="1:11" ht="12.75" customHeight="1" x14ac:dyDescent="0.2">
      <c r="A16" s="713"/>
      <c r="B16" s="717"/>
      <c r="C16" s="36" t="s">
        <v>121</v>
      </c>
      <c r="D16" s="49">
        <f>SUMIF('13'!$N$14:$N$38,"InstructionTeacher Advancement",'13'!$G$14:$G$38)</f>
        <v>0</v>
      </c>
      <c r="E16" s="50">
        <f>SUMIF('13'!$N$49:$N$73,"InstructionTeacher Advancement",'13'!$G$49:$G$73)</f>
        <v>0</v>
      </c>
      <c r="F16" s="50">
        <f>SUMIF('13'!$N$84:$N$108,"InstructionTeacher Advancement",'13'!$G$84:$G$108)</f>
        <v>0</v>
      </c>
      <c r="G16" s="50">
        <f>SUMIF('13'!$N$119:$N$143,"InstructionTeacher Advancement",'13'!$G$119:$G$143)</f>
        <v>0</v>
      </c>
      <c r="H16" s="50">
        <f>SUMIF('13'!$N$154:$N$178,"InstructionTeacher Advancement",'13'!$G$154:$G$178)</f>
        <v>0</v>
      </c>
      <c r="I16" s="50">
        <f>SUMIF('13'!$N$189:$N$213,"InstructionTeacher Advancement",'13'!$G$189:$G$213)</f>
        <v>0</v>
      </c>
      <c r="J16" s="175">
        <f t="shared" si="0"/>
        <v>0</v>
      </c>
      <c r="K16" s="701"/>
    </row>
    <row r="17" spans="1:11" ht="12.75" customHeight="1" x14ac:dyDescent="0.2">
      <c r="A17" s="713"/>
      <c r="B17" s="717"/>
      <c r="C17" s="36" t="s">
        <v>108</v>
      </c>
      <c r="D17" s="49">
        <f>SUMIF('13'!$N$14:$N$38,"InstructionEquitable Services",'13'!$G$14:$G$38)</f>
        <v>0</v>
      </c>
      <c r="E17" s="50">
        <f>SUMIF('13'!$N$49:$N$73,"InstructionEquitable Services",'13'!$G$49:$G$73)</f>
        <v>0</v>
      </c>
      <c r="F17" s="50">
        <f>SUMIF('13'!$N$84:$N$108,"InstructionEquitable Services",'13'!$G$84:$G$108)</f>
        <v>0</v>
      </c>
      <c r="G17" s="50">
        <f>SUMIF('13'!$N$119:$N$143,"InstructionEquitable Services",'13'!$G$119:$G$143)</f>
        <v>0</v>
      </c>
      <c r="H17" s="50">
        <f>SUMIF('13'!$N$154:$N$178,"InstructionEquitable Services",'13'!$G$154:$G$178)</f>
        <v>0</v>
      </c>
      <c r="I17" s="50">
        <f>SUMIF('13'!$N$189:$N$213,"InstructionEquitable Services",'13'!$G$189:$G$213)</f>
        <v>0</v>
      </c>
      <c r="J17" s="175">
        <f t="shared" si="0"/>
        <v>0</v>
      </c>
      <c r="K17" s="701"/>
    </row>
    <row r="18" spans="1:11" ht="12.75" customHeight="1" x14ac:dyDescent="0.2">
      <c r="A18" s="713"/>
      <c r="B18" s="717"/>
      <c r="C18" s="36" t="s">
        <v>52</v>
      </c>
      <c r="D18" s="49">
        <f>SUMIF('13'!$N$14:$N$38,"InstructionOther",'13'!$G$14:$G$38)</f>
        <v>0</v>
      </c>
      <c r="E18" s="50">
        <f>SUMIF('13'!$N$49:$N$73,"InstructionOther",'13'!$G$49:$G$73)</f>
        <v>0</v>
      </c>
      <c r="F18" s="50">
        <f>SUMIF('13'!$N$84:$N$108,"InstructionOther",'13'!$G$84:$G$108)</f>
        <v>0</v>
      </c>
      <c r="G18" s="50">
        <f>SUMIF('13'!$N$119:$N$143,"InstructionOther",'13'!$G$119:$G$143)</f>
        <v>0</v>
      </c>
      <c r="H18" s="50">
        <f>SUMIF('13'!$N$154:$N$178,"InstructionOther",'13'!$G$154:$G$178)</f>
        <v>0</v>
      </c>
      <c r="I18" s="50">
        <f>SUMIF('13'!$N$189:$N$213,"InstructionOther",'13'!$G$189:$G$213)</f>
        <v>0</v>
      </c>
      <c r="J18" s="175">
        <f t="shared" si="0"/>
        <v>0</v>
      </c>
      <c r="K18" s="701"/>
    </row>
    <row r="19" spans="1:11" ht="13.5" customHeight="1" thickBot="1" x14ac:dyDescent="0.25">
      <c r="A19" s="713"/>
      <c r="B19" s="763"/>
      <c r="C19" s="37" t="s">
        <v>112</v>
      </c>
      <c r="D19" s="38">
        <f t="shared" ref="D19:I19" si="1">SUM(D9:D18)</f>
        <v>0</v>
      </c>
      <c r="E19" s="38">
        <f t="shared" si="1"/>
        <v>0</v>
      </c>
      <c r="F19" s="38">
        <f t="shared" si="1"/>
        <v>0</v>
      </c>
      <c r="G19" s="38">
        <f t="shared" si="1"/>
        <v>0</v>
      </c>
      <c r="H19" s="38">
        <f t="shared" si="1"/>
        <v>0</v>
      </c>
      <c r="I19" s="38">
        <f t="shared" si="1"/>
        <v>0</v>
      </c>
      <c r="J19" s="41">
        <f t="shared" si="0"/>
        <v>0</v>
      </c>
      <c r="K19" s="701"/>
    </row>
    <row r="20" spans="1:11" ht="12.75" customHeight="1" x14ac:dyDescent="0.2">
      <c r="A20" s="713"/>
      <c r="B20" s="715" t="s">
        <v>51</v>
      </c>
      <c r="C20" s="35" t="s">
        <v>119</v>
      </c>
      <c r="D20" s="47">
        <f>SUMIF('13'!$N$14:$N$38,"Support ServicesRecruit./Retention",'13'!$G$14:$G$38)</f>
        <v>0</v>
      </c>
      <c r="E20" s="48">
        <f>SUMIF('13'!$N$49:$N$73,"Support ServicesRecruit./Retention",'13'!$G$49:$G$73)</f>
        <v>0</v>
      </c>
      <c r="F20" s="48">
        <f>SUMIF('13'!$N$84:$N$108,"Support ServicesRecruit./Retention",'13'!$G$84:$G$108)</f>
        <v>0</v>
      </c>
      <c r="G20" s="48">
        <f>SUMIF('13'!$N$119:$N$143,"Support ServicesRecruit./Retention",'13'!$G$119:$G$143)</f>
        <v>0</v>
      </c>
      <c r="H20" s="48">
        <f>SUMIF('13'!$N$154:$N$178,"Support ServicesRecruit./Retention",'13'!$G$154:$G$178)</f>
        <v>0</v>
      </c>
      <c r="I20" s="48">
        <f>SUMIF('13'!$N$189:$N$213,"Support ServicesRecruit./Retention",'13'!$G$189:$G$213)</f>
        <v>0</v>
      </c>
      <c r="J20" s="174">
        <f t="shared" si="0"/>
        <v>0</v>
      </c>
      <c r="K20" s="701"/>
    </row>
    <row r="21" spans="1:11" ht="12.75" customHeight="1" x14ac:dyDescent="0.2">
      <c r="A21" s="713"/>
      <c r="B21" s="717"/>
      <c r="C21" s="36" t="s">
        <v>109</v>
      </c>
      <c r="D21" s="49">
        <f>SUMIF('13'!$N$14:$N$38,"Support ServicesProf. Development",'13'!$G$14:$G$38)</f>
        <v>0</v>
      </c>
      <c r="E21" s="50">
        <f>SUMIF('13'!$N$49:$N$73,"Support ServicesProf. Development",'13'!$G$49:$G$73)</f>
        <v>0</v>
      </c>
      <c r="F21" s="50">
        <f>SUMIF('13'!$N$84:$N$108,"Support ServicesProf. Development",'13'!$G$84:$G$108)</f>
        <v>0</v>
      </c>
      <c r="G21" s="50">
        <f>SUMIF('13'!$N$119:$N$143,"Support ServicesProf. Development",'13'!$G$119:$G$143)</f>
        <v>0</v>
      </c>
      <c r="H21" s="50">
        <f>SUMIF('13'!$N$154:$N$178,"Support ServicesProf. Development",'13'!$G$154:$G$178)</f>
        <v>0</v>
      </c>
      <c r="I21" s="50">
        <f>SUMIF('13'!$N$189:$N$213,"Support ServicesProf. Development",'13'!$G$189:$G$213)</f>
        <v>0</v>
      </c>
      <c r="J21" s="175">
        <f t="shared" si="0"/>
        <v>0</v>
      </c>
      <c r="K21" s="701"/>
    </row>
    <row r="22" spans="1:11" ht="12.75" customHeight="1" x14ac:dyDescent="0.2">
      <c r="A22" s="713"/>
      <c r="B22" s="717"/>
      <c r="C22" s="36" t="s">
        <v>125</v>
      </c>
      <c r="D22" s="49">
        <f>SUMIF('13'!$N$14:$N$38,"Support ServicesMentoring/Induction",'13'!$G$14:$G$38)</f>
        <v>0</v>
      </c>
      <c r="E22" s="50">
        <f>SUMIF('13'!$N$49:$N$73,"Support ServicesMentoring/Induction",'13'!$G$49:$G$73)</f>
        <v>0</v>
      </c>
      <c r="F22" s="50">
        <f>SUMIF('13'!$N$84:$N$108,"Support ServicesMentoring/Induction",'13'!$G$84:$G$108)</f>
        <v>0</v>
      </c>
      <c r="G22" s="50">
        <f>SUMIF('13'!$N$119:$N$143,"Support ServicesMentoring/Induction",'13'!$G$119:$G$143)</f>
        <v>0</v>
      </c>
      <c r="H22" s="50">
        <f>SUMIF('13'!$N$154:$N$178,"Support ServicesMentoring/Induction",'13'!$G$154:$G$178)</f>
        <v>0</v>
      </c>
      <c r="I22" s="50">
        <f>SUMIF('13'!$N$189:$N$213,"Support ServicesMentoring/Induction",'13'!$G$189:$G$213)</f>
        <v>0</v>
      </c>
      <c r="J22" s="175">
        <f t="shared" si="0"/>
        <v>0</v>
      </c>
      <c r="K22" s="701"/>
    </row>
    <row r="23" spans="1:11" ht="12.75" customHeight="1" x14ac:dyDescent="0.2">
      <c r="A23" s="713"/>
      <c r="B23" s="717"/>
      <c r="C23" s="36" t="s">
        <v>122</v>
      </c>
      <c r="D23" s="49">
        <f>SUMIF('13'!$N$14:$N$38,"Support ServicesTeacher Testing",'13'!$G$14:$G$38)</f>
        <v>0</v>
      </c>
      <c r="E23" s="50">
        <f>SUMIF('13'!$N$49:$N$73,"Support ServicesTeacher Testing",'13'!$G$49:$G$73)</f>
        <v>0</v>
      </c>
      <c r="F23" s="50">
        <f>SUMIF('13'!$N$84:$N$108,"Support ServicesTeacher Testing",'13'!$G$84:$G$108)</f>
        <v>0</v>
      </c>
      <c r="G23" s="50">
        <f>SUMIF('13'!$N$119:$N$143,"Support ServicesTeacher Testing",'13'!$G$119:$G$143)</f>
        <v>0</v>
      </c>
      <c r="H23" s="50">
        <f>SUMIF('13'!$N$154:$N$178,"Support ServicesTeacher Testing",'13'!$G$154:$G$178)</f>
        <v>0</v>
      </c>
      <c r="I23" s="50">
        <f>SUMIF('13'!$N$189:$N$213,"Support ServicesTeacher Testing",'13'!$G$189:$G$213)</f>
        <v>0</v>
      </c>
      <c r="J23" s="175">
        <f t="shared" si="0"/>
        <v>0</v>
      </c>
      <c r="K23" s="701"/>
    </row>
    <row r="24" spans="1:11" ht="12.75" customHeight="1" x14ac:dyDescent="0.2">
      <c r="A24" s="713"/>
      <c r="B24" s="717"/>
      <c r="C24" s="36" t="s">
        <v>124</v>
      </c>
      <c r="D24" s="49">
        <f>SUMIF('13'!$N$14:$N$38,"Support ServicesPrincipal Development",'13'!$G$14:$G$38)</f>
        <v>0</v>
      </c>
      <c r="E24" s="50">
        <f>SUMIF('13'!$N$49:$N$73,"Support ServicesPrincipal Development",'13'!$G$49:$G$73)</f>
        <v>0</v>
      </c>
      <c r="F24" s="50">
        <f>SUMIF('13'!$N$84:$N$108,"Support ServicesPrincipal Development",'13'!$G$84:$G$108)</f>
        <v>0</v>
      </c>
      <c r="G24" s="50">
        <f>SUMIF('13'!$N$119:$N$143,"Support ServicesPrincipal Development",'13'!$G$119:$G$143)</f>
        <v>0</v>
      </c>
      <c r="H24" s="50">
        <f>SUMIF('13'!$N$154:$N$178,"Support ServicesPrincipal Development",'13'!$G$154:$G$178)</f>
        <v>0</v>
      </c>
      <c r="I24" s="50">
        <f>SUMIF('13'!$N$189:$N$213,"Support ServicesPrincipal Development",'13'!$G$189:$G$213)</f>
        <v>0</v>
      </c>
      <c r="J24" s="175">
        <f t="shared" si="0"/>
        <v>0</v>
      </c>
      <c r="K24" s="701"/>
    </row>
    <row r="25" spans="1:11" ht="12.75" customHeight="1" x14ac:dyDescent="0.2">
      <c r="A25" s="713"/>
      <c r="B25" s="717"/>
      <c r="C25" s="36" t="s">
        <v>123</v>
      </c>
      <c r="D25" s="49">
        <f>SUMIF('13'!$N$14:$N$38,"Support ServicesMerit Pay",'13'!$G$14:$G$38)</f>
        <v>0</v>
      </c>
      <c r="E25" s="50">
        <f>SUMIF('13'!$N$49:$N$73,"Support ServicesMerit Pay",'13'!$G$49:$G$73)</f>
        <v>0</v>
      </c>
      <c r="F25" s="50">
        <f>SUMIF('13'!$N$84:$N$108,"Support ServicesMerit Pay",'13'!$G$84:$G$108)</f>
        <v>0</v>
      </c>
      <c r="G25" s="50">
        <f>SUMIF('13'!$N$119:$N$143,"Support ServicesMerit Pay",'13'!$G$119:$G$143)</f>
        <v>0</v>
      </c>
      <c r="H25" s="50">
        <f>SUMIF('13'!$N$154:$N$178,"Support ServicesMerit Pay",'13'!$G$154:$G$178)</f>
        <v>0</v>
      </c>
      <c r="I25" s="50">
        <f>SUMIF('13'!$N$189:$N$213,"Support ServicesMerit Pay",'13'!$G$189:$G$213)</f>
        <v>0</v>
      </c>
      <c r="J25" s="175">
        <f t="shared" si="0"/>
        <v>0</v>
      </c>
      <c r="K25" s="701"/>
    </row>
    <row r="26" spans="1:11" ht="12.75" customHeight="1" x14ac:dyDescent="0.2">
      <c r="A26" s="713"/>
      <c r="B26" s="717"/>
      <c r="C26" s="36" t="s">
        <v>120</v>
      </c>
      <c r="D26" s="49">
        <f>SUMIF('13'!$N$14:$N$38,"Support ServicesClass-size Reduction",'13'!$G$14:$G$38)</f>
        <v>0</v>
      </c>
      <c r="E26" s="50">
        <f>SUMIF('13'!$N$49:$N$73,"Support ServicesClass-size Reduction",'13'!$G$49:$G$73)</f>
        <v>0</v>
      </c>
      <c r="F26" s="50">
        <f>SUMIF('13'!$N$84:$N$108,"Support ServicesClass-size Reduction",'13'!$G$84:$G$108)</f>
        <v>0</v>
      </c>
      <c r="G26" s="50">
        <f>SUMIF('13'!$N$119:$N$143,"Support ServicesClass-size Reduction",'13'!$G$119:$G$143)</f>
        <v>0</v>
      </c>
      <c r="H26" s="50">
        <f>SUMIF('13'!$N$154:$N$178,"Support ServicesClass-size Reduction",'13'!$G$154:$G$178)</f>
        <v>0</v>
      </c>
      <c r="I26" s="50">
        <f>SUMIF('13'!$N$189:$N$213,"Support ServicesClass-size Reduction",'13'!$G$189:$G$213)</f>
        <v>0</v>
      </c>
      <c r="J26" s="175">
        <f t="shared" si="0"/>
        <v>0</v>
      </c>
      <c r="K26" s="701"/>
    </row>
    <row r="27" spans="1:11" ht="12.75" customHeight="1" x14ac:dyDescent="0.2">
      <c r="A27" s="713"/>
      <c r="B27" s="717"/>
      <c r="C27" s="36" t="s">
        <v>121</v>
      </c>
      <c r="D27" s="49">
        <f>SUMIF('13'!$N$14:$N$38,"Support ServicesTeacher Advancement",'13'!$G$14:$G$38)</f>
        <v>0</v>
      </c>
      <c r="E27" s="50">
        <f>SUMIF('13'!$N$49:$N$73,"Support ServicesTeacher Advancement",'13'!$G$49:$G$73)</f>
        <v>0</v>
      </c>
      <c r="F27" s="50">
        <f>SUMIF('13'!$N$84:$N$108,"Support ServicesTeacher Advancement",'13'!$G$84:$G$108)</f>
        <v>0</v>
      </c>
      <c r="G27" s="50">
        <f>SUMIF('13'!$N$119:$N$143,"Support ServicesTeacher Advancement",'13'!$G$119:$G$143)</f>
        <v>0</v>
      </c>
      <c r="H27" s="50">
        <f>SUMIF('13'!$N$154:$N$178,"Support ServicesTeacher Advancement",'13'!$G$154:$G$178)</f>
        <v>0</v>
      </c>
      <c r="I27" s="50">
        <f>SUMIF('13'!$N$189:$N$213,"Support ServicesTeacher Advancement",'13'!$G$189:$G$213)</f>
        <v>0</v>
      </c>
      <c r="J27" s="175">
        <f t="shared" si="0"/>
        <v>0</v>
      </c>
      <c r="K27" s="701"/>
    </row>
    <row r="28" spans="1:11" ht="12.75" customHeight="1" x14ac:dyDescent="0.2">
      <c r="A28" s="713"/>
      <c r="B28" s="717"/>
      <c r="C28" s="36" t="s">
        <v>108</v>
      </c>
      <c r="D28" s="49">
        <f>SUMIF('13'!$N$14:$N$38,"Support ServicesEquitable Services",'13'!$G$14:$G$38)</f>
        <v>0</v>
      </c>
      <c r="E28" s="50">
        <f>SUMIF('13'!$N$49:$N$73,"Support ServicesEquitable Services",'13'!$G$49:$G$73)</f>
        <v>0</v>
      </c>
      <c r="F28" s="50">
        <f>SUMIF('13'!$N$84:$N$108,"Support ServicesEquitable Services",'13'!$G$84:$G$108)</f>
        <v>0</v>
      </c>
      <c r="G28" s="50">
        <f>SUMIF('13'!$N$119:$N$143,"Support ServicesEquitable Services",'13'!$G$119:$G$143)</f>
        <v>0</v>
      </c>
      <c r="H28" s="50">
        <f>SUMIF('13'!$N$154:$N$178,"Support ServicesEquitable Services",'13'!$G$154:$G$178)</f>
        <v>0</v>
      </c>
      <c r="I28" s="50">
        <f>SUMIF('13'!$N$189:$N$213,"Support ServicesEquitable Services",'13'!$G$189:$G$213)</f>
        <v>0</v>
      </c>
      <c r="J28" s="175">
        <f t="shared" si="0"/>
        <v>0</v>
      </c>
      <c r="K28" s="701"/>
    </row>
    <row r="29" spans="1:11" ht="12.75" customHeight="1" x14ac:dyDescent="0.2">
      <c r="A29" s="713"/>
      <c r="B29" s="717"/>
      <c r="C29" s="36" t="s">
        <v>52</v>
      </c>
      <c r="D29" s="49">
        <f>SUMIF('13'!$N$14:$N$38,"Support ServicesOther",'13'!$G$14:$G$38)</f>
        <v>0</v>
      </c>
      <c r="E29" s="50">
        <f>SUMIF('13'!$N$49:$N$73,"Support ServicesOther",'13'!$G$49:$G$73)</f>
        <v>0</v>
      </c>
      <c r="F29" s="50">
        <f>SUMIF('13'!$N$84:$N$108,"Support ServicesOther",'13'!$G$84:$G$108)</f>
        <v>0</v>
      </c>
      <c r="G29" s="50">
        <f>SUMIF('13'!$N$119:$N$143,"Support ServicesOther",'13'!$G$119:$G$143)</f>
        <v>0</v>
      </c>
      <c r="H29" s="50">
        <f>SUMIF('13'!$N$154:$N$178,"Support ServicesOther",'13'!$G$154:$G$178)</f>
        <v>0</v>
      </c>
      <c r="I29" s="50">
        <f>SUMIF('13'!$N$189:$N$213,"Support ServicesOther",'13'!$G$189:$G$213)</f>
        <v>0</v>
      </c>
      <c r="J29" s="175">
        <f t="shared" si="0"/>
        <v>0</v>
      </c>
      <c r="K29" s="701"/>
    </row>
    <row r="30" spans="1:11" ht="13.5" customHeight="1" thickBot="1" x14ac:dyDescent="0.25">
      <c r="A30" s="713"/>
      <c r="B30" s="763"/>
      <c r="C30" s="37" t="s">
        <v>112</v>
      </c>
      <c r="D30" s="38">
        <f t="shared" ref="D30:I30" si="2">SUM(D20:D29)</f>
        <v>0</v>
      </c>
      <c r="E30" s="38">
        <f t="shared" si="2"/>
        <v>0</v>
      </c>
      <c r="F30" s="38">
        <f t="shared" si="2"/>
        <v>0</v>
      </c>
      <c r="G30" s="38">
        <f t="shared" si="2"/>
        <v>0</v>
      </c>
      <c r="H30" s="38">
        <f t="shared" si="2"/>
        <v>0</v>
      </c>
      <c r="I30" s="38">
        <f t="shared" si="2"/>
        <v>0</v>
      </c>
      <c r="J30" s="41">
        <f t="shared" si="0"/>
        <v>0</v>
      </c>
      <c r="K30" s="701"/>
    </row>
    <row r="31" spans="1:11" ht="12.75" customHeight="1" x14ac:dyDescent="0.2">
      <c r="A31" s="713"/>
      <c r="B31" s="715" t="s">
        <v>94</v>
      </c>
      <c r="C31" s="35" t="s">
        <v>119</v>
      </c>
      <c r="D31" s="47">
        <f>SUMIF('13'!$N$14:$N$38,"AdministrationRecruit./Retention",'13'!$G$14:$G$38)</f>
        <v>0</v>
      </c>
      <c r="E31" s="48">
        <f>SUMIF('13'!$N$49:$N$73,"AdministrationRecruit./Retention",'13'!$G$49:$G$73)</f>
        <v>0</v>
      </c>
      <c r="F31" s="48">
        <f>SUMIF('13'!$N$84:$N$108,"AdministrationRecruit./Retention",'13'!$G$84:$G$108)</f>
        <v>0</v>
      </c>
      <c r="G31" s="48">
        <f>SUMIF('13'!$N$119:$N$143,"AdministrationRecruit./Retention",'13'!$G$119:$G$143)</f>
        <v>0</v>
      </c>
      <c r="H31" s="48">
        <f>SUMIF('13'!$N$154:$N$178,"AdministrationRecruit./Retention",'13'!$G$154:$G$178)</f>
        <v>0</v>
      </c>
      <c r="I31" s="48">
        <f>SUMIF('13'!$N$189:$N$213,"AdministrationRecruit./Retention",'13'!$G$189:$G$213)</f>
        <v>0</v>
      </c>
      <c r="J31" s="174">
        <f t="shared" si="0"/>
        <v>0</v>
      </c>
      <c r="K31" s="701"/>
    </row>
    <row r="32" spans="1:11" ht="12.75" customHeight="1" x14ac:dyDescent="0.2">
      <c r="A32" s="713"/>
      <c r="B32" s="717"/>
      <c r="C32" s="36" t="s">
        <v>109</v>
      </c>
      <c r="D32" s="49">
        <f>SUMIF('13'!$N$14:$N$38,"AdministrationProf. Development",'13'!$G$14:$G$38)</f>
        <v>0</v>
      </c>
      <c r="E32" s="50">
        <f>SUMIF('13'!$N$49:$N$73,"AdministrationProf. Development",'13'!$G$49:$G$73)</f>
        <v>0</v>
      </c>
      <c r="F32" s="50">
        <f>SUMIF('13'!$N$84:$N$108,"AdministrationProf. Development",'13'!$G$84:$G$108)</f>
        <v>0</v>
      </c>
      <c r="G32" s="50">
        <f>SUMIF('13'!$N$119:$N$143,"AdministrationProf. Development",'13'!$G$119:$G$143)</f>
        <v>0</v>
      </c>
      <c r="H32" s="50">
        <f>SUMIF('13'!$N$154:$N$178,"AdministrationProf. Development",'13'!$G$154:$G$178)</f>
        <v>0</v>
      </c>
      <c r="I32" s="50">
        <f>SUMIF('13'!$N$189:$N$213,"AdministrationProf. Development",'13'!$G$189:$G$213)</f>
        <v>0</v>
      </c>
      <c r="J32" s="175">
        <f t="shared" si="0"/>
        <v>0</v>
      </c>
      <c r="K32" s="701"/>
    </row>
    <row r="33" spans="1:11" ht="12.75" customHeight="1" x14ac:dyDescent="0.2">
      <c r="A33" s="713"/>
      <c r="B33" s="717"/>
      <c r="C33" s="36" t="s">
        <v>125</v>
      </c>
      <c r="D33" s="49">
        <f>SUMIF('13'!$N$14:$N$38,"AdministrationMentoring/Induction",'13'!$G$14:$G$38)</f>
        <v>0</v>
      </c>
      <c r="E33" s="50">
        <f>SUMIF('13'!$N$49:$N$73,"AdministrationMentoring/Induction",'13'!$G$49:$G$73)</f>
        <v>0</v>
      </c>
      <c r="F33" s="50">
        <f>SUMIF('13'!$N$84:$N$108,"AdministrationMentoring/Induction",'13'!$G$84:$G$108)</f>
        <v>0</v>
      </c>
      <c r="G33" s="50">
        <f>SUMIF('13'!$N$119:$N$143,"AdministrationMentoring/Induction",'13'!$G$119:$G$143)</f>
        <v>0</v>
      </c>
      <c r="H33" s="50">
        <f>SUMIF('13'!$N$154:$N$178,"AdministrationMentoring/Induction",'13'!$G$154:$G$178)</f>
        <v>0</v>
      </c>
      <c r="I33" s="50">
        <f>SUMIF('13'!$N$189:$N$213,"AdministrationMentoring/Induction",'13'!$G$189:$G$213)</f>
        <v>0</v>
      </c>
      <c r="J33" s="175">
        <f t="shared" si="0"/>
        <v>0</v>
      </c>
      <c r="K33" s="701"/>
    </row>
    <row r="34" spans="1:11" ht="12.75" customHeight="1" x14ac:dyDescent="0.2">
      <c r="A34" s="713"/>
      <c r="B34" s="717"/>
      <c r="C34" s="36" t="s">
        <v>122</v>
      </c>
      <c r="D34" s="49">
        <f>SUMIF('13'!$N$14:$N$38,"AdministrationTeacher Testing",'13'!$G$14:$G$38)</f>
        <v>0</v>
      </c>
      <c r="E34" s="50">
        <f>SUMIF('13'!$N$49:$N$73,"AdministrationTeacher Testing",'13'!$G$49:$G$73)</f>
        <v>0</v>
      </c>
      <c r="F34" s="50">
        <f>SUMIF('13'!$N$84:$N$108,"AdministrationTeacher Testing",'13'!$G$84:$G$108)</f>
        <v>0</v>
      </c>
      <c r="G34" s="50">
        <f>SUMIF('13'!$N$119:$N$143,"AdministrationTeacher Testing",'13'!$G$119:$G$143)</f>
        <v>0</v>
      </c>
      <c r="H34" s="50">
        <f>SUMIF('13'!$N$154:$N$178,"AdministrationTeacher Testing",'13'!$G$154:$G$178)</f>
        <v>0</v>
      </c>
      <c r="I34" s="50">
        <f>SUMIF('13'!$N$189:$N$213,"AdministrationTeacher Testing",'13'!$G$189:$G$213)</f>
        <v>0</v>
      </c>
      <c r="J34" s="175">
        <f t="shared" si="0"/>
        <v>0</v>
      </c>
      <c r="K34" s="701"/>
    </row>
    <row r="35" spans="1:11" ht="12.75" customHeight="1" x14ac:dyDescent="0.2">
      <c r="A35" s="713"/>
      <c r="B35" s="717"/>
      <c r="C35" s="36" t="s">
        <v>124</v>
      </c>
      <c r="D35" s="49">
        <f>SUMIF('13'!$N$14:$N$38,"AdministrationPrincipal Development",'13'!$G$14:$G$38)</f>
        <v>0</v>
      </c>
      <c r="E35" s="50">
        <f>SUMIF('13'!$N$49:$N$73,"AdministrationPrincipal Development",'13'!$G$49:$G$73)</f>
        <v>0</v>
      </c>
      <c r="F35" s="50">
        <f>SUMIF('13'!$N$84:$N$108,"AdministrationPrincipal Development",'13'!$G$84:$G$108)</f>
        <v>0</v>
      </c>
      <c r="G35" s="50">
        <f>SUMIF('13'!$N$119:$N$143,"AdministrationPrincipal Development",'13'!$G$119:$G$143)</f>
        <v>0</v>
      </c>
      <c r="H35" s="50">
        <f>SUMIF('13'!$N$154:$N$178,"AdministrationPrincipal Development",'13'!$G$154:$G$178)</f>
        <v>0</v>
      </c>
      <c r="I35" s="50">
        <f>SUMIF('13'!$N$189:$N$213,"AdministrationPrincipal Development",'13'!$G$189:$G$213)</f>
        <v>0</v>
      </c>
      <c r="J35" s="175">
        <f t="shared" si="0"/>
        <v>0</v>
      </c>
      <c r="K35" s="701"/>
    </row>
    <row r="36" spans="1:11" ht="12.75" customHeight="1" x14ac:dyDescent="0.2">
      <c r="A36" s="713"/>
      <c r="B36" s="717"/>
      <c r="C36" s="36" t="s">
        <v>123</v>
      </c>
      <c r="D36" s="49">
        <f>SUMIF('13'!$N$14:$N$38,"AdministrationMerit Pay",'13'!$G$14:$G$38)</f>
        <v>0</v>
      </c>
      <c r="E36" s="50">
        <f>SUMIF('13'!$N$49:$N$73,"AdministrationMerit Pay",'13'!$G$49:$G$73)</f>
        <v>0</v>
      </c>
      <c r="F36" s="50">
        <f>SUMIF('13'!$N$84:$N$108,"AdministrationMerit Pay",'13'!$G$84:$G$108)</f>
        <v>0</v>
      </c>
      <c r="G36" s="50">
        <f>SUMIF('13'!$N$119:$N$143,"AdministrationMerit Pay",'13'!$G$119:$G$143)</f>
        <v>0</v>
      </c>
      <c r="H36" s="50">
        <f>SUMIF('13'!$N$154:$N$178,"AdministrationMerit Pay",'13'!$G$154:$G$178)</f>
        <v>0</v>
      </c>
      <c r="I36" s="50">
        <f>SUMIF('13'!$N$189:$N$213,"AdministrationMerit Pay",'13'!$G$189:$G$213)</f>
        <v>0</v>
      </c>
      <c r="J36" s="175">
        <f t="shared" si="0"/>
        <v>0</v>
      </c>
      <c r="K36" s="701"/>
    </row>
    <row r="37" spans="1:11" ht="12.75" customHeight="1" x14ac:dyDescent="0.2">
      <c r="A37" s="713"/>
      <c r="B37" s="717"/>
      <c r="C37" s="36" t="s">
        <v>120</v>
      </c>
      <c r="D37" s="49">
        <f>SUMIF('13'!$N$14:$N$38,"AdministrationClass-size Reduction",'13'!$G$14:$G$38)</f>
        <v>0</v>
      </c>
      <c r="E37" s="50">
        <f>SUMIF('13'!$N$49:$N$73,"AdministrationClass-size Reduction",'13'!$G$49:$G$73)</f>
        <v>0</v>
      </c>
      <c r="F37" s="50">
        <f>SUMIF('13'!$N$84:$N$108,"AdministrationClass-size Reduction",'13'!$G$84:$G$108)</f>
        <v>0</v>
      </c>
      <c r="G37" s="50">
        <f>SUMIF('13'!$N$119:$N$143,"AdministrationClass-size Reduction",'13'!$G$119:$G$143)</f>
        <v>0</v>
      </c>
      <c r="H37" s="50">
        <f>SUMIF('13'!$N$154:$N$178,"AdministrationClass-size Reduction",'13'!$G$154:$G$178)</f>
        <v>0</v>
      </c>
      <c r="I37" s="50">
        <f>SUMIF('13'!$N$189:$N$213,"AdministrationClass-size Reduction",'13'!$G$189:$G$213)</f>
        <v>0</v>
      </c>
      <c r="J37" s="175">
        <f t="shared" si="0"/>
        <v>0</v>
      </c>
      <c r="K37" s="701"/>
    </row>
    <row r="38" spans="1:11" ht="12.75" customHeight="1" x14ac:dyDescent="0.2">
      <c r="A38" s="713"/>
      <c r="B38" s="717"/>
      <c r="C38" s="36" t="s">
        <v>121</v>
      </c>
      <c r="D38" s="49">
        <f>SUMIF('13'!$N$14:$N$38,"AdministrationTeacher Advancement",'13'!$G$14:$G$38)</f>
        <v>0</v>
      </c>
      <c r="E38" s="50">
        <f>SUMIF('13'!$N$49:$N$73,"AdministrationTeacher Advancement",'13'!$G$49:$G$73)</f>
        <v>0</v>
      </c>
      <c r="F38" s="50">
        <f>SUMIF('13'!$N$84:$N$108,"AdministrationTeacher Advancement",'13'!$G$84:$G$108)</f>
        <v>0</v>
      </c>
      <c r="G38" s="50">
        <f>SUMIF('13'!$N$119:$N$143,"AdministrationTeacher Advancement",'13'!$G$119:$G$143)</f>
        <v>0</v>
      </c>
      <c r="H38" s="50">
        <f>SUMIF('13'!$N$154:$N$178,"AdministrationTeacher Advancement",'13'!$G$154:$G$178)</f>
        <v>0</v>
      </c>
      <c r="I38" s="50">
        <f>SUMIF('13'!$N$189:$N$213,"AdministrationTeacher Advancement",'13'!$G$189:$G$213)</f>
        <v>0</v>
      </c>
      <c r="J38" s="175">
        <f t="shared" si="0"/>
        <v>0</v>
      </c>
      <c r="K38" s="701"/>
    </row>
    <row r="39" spans="1:11" ht="12.75" customHeight="1" x14ac:dyDescent="0.2">
      <c r="A39" s="713"/>
      <c r="B39" s="717"/>
      <c r="C39" s="36" t="s">
        <v>108</v>
      </c>
      <c r="D39" s="49">
        <f>SUMIF('13'!$N$14:$N$38,"AdministrationEquitable Services",'13'!$G$14:$G$38)</f>
        <v>0</v>
      </c>
      <c r="E39" s="50">
        <f>SUMIF('13'!$N$49:$N$73,"AdministrationEquitable Services",'13'!$G$49:$G$73)</f>
        <v>0</v>
      </c>
      <c r="F39" s="50">
        <f>SUMIF('13'!$N$84:$N$108,"AdministrationEquitable Services",'13'!$G$84:$G$108)</f>
        <v>0</v>
      </c>
      <c r="G39" s="50">
        <f>SUMIF('13'!$N$119:$N$143,"AdministrationEquitable Services",'13'!$G$119:$G$143)</f>
        <v>0</v>
      </c>
      <c r="H39" s="50">
        <f>SUMIF('13'!$N$154:$N$178,"AdministrationEquitable Services",'13'!$G$154:$G$178)</f>
        <v>0</v>
      </c>
      <c r="I39" s="50">
        <f>SUMIF('13'!$N$189:$N$213,"AdministrationEquitable Services",'13'!$G$189:$G$213)</f>
        <v>0</v>
      </c>
      <c r="J39" s="175">
        <f t="shared" si="0"/>
        <v>0</v>
      </c>
      <c r="K39" s="701"/>
    </row>
    <row r="40" spans="1:11" ht="12.75" customHeight="1" x14ac:dyDescent="0.2">
      <c r="A40" s="713"/>
      <c r="B40" s="717"/>
      <c r="C40" s="36" t="s">
        <v>52</v>
      </c>
      <c r="D40" s="49">
        <f>SUMIF('13'!$N$14:$N$38,"AdministrationOther",'13'!$G$14:$G$38)</f>
        <v>0</v>
      </c>
      <c r="E40" s="50">
        <f>SUMIF('13'!$N$49:$N$73,"AdministrationOther",'13'!$G$49:$G$73)</f>
        <v>0</v>
      </c>
      <c r="F40" s="50">
        <f>SUMIF('13'!$N$84:$N$108,"AdministrationOther",'13'!$G$84:$G$108)</f>
        <v>0</v>
      </c>
      <c r="G40" s="50">
        <f>SUMIF('13'!$N$119:$N$143,"AdministrationOther",'13'!$G$119:$G$143)</f>
        <v>0</v>
      </c>
      <c r="H40" s="50">
        <f>SUMIF('13'!$N$154:$N$178,"AdministrationOther",'13'!$G$154:$G$178)</f>
        <v>0</v>
      </c>
      <c r="I40" s="50">
        <f>SUMIF('13'!$N$189:$N$213,"AdministrationOther",'13'!$G$189:$G$213)</f>
        <v>0</v>
      </c>
      <c r="J40" s="175">
        <f t="shared" si="0"/>
        <v>0</v>
      </c>
      <c r="K40" s="701"/>
    </row>
    <row r="41" spans="1:11" ht="13.5" customHeight="1" thickBot="1" x14ac:dyDescent="0.25">
      <c r="A41" s="713"/>
      <c r="B41" s="763"/>
      <c r="C41" s="37" t="s">
        <v>112</v>
      </c>
      <c r="D41" s="38">
        <f t="shared" ref="D41:I41" si="3">SUM(D31:D40)</f>
        <v>0</v>
      </c>
      <c r="E41" s="38">
        <f t="shared" si="3"/>
        <v>0</v>
      </c>
      <c r="F41" s="38">
        <f t="shared" si="3"/>
        <v>0</v>
      </c>
      <c r="G41" s="38">
        <f t="shared" si="3"/>
        <v>0</v>
      </c>
      <c r="H41" s="38">
        <f t="shared" si="3"/>
        <v>0</v>
      </c>
      <c r="I41" s="38">
        <f t="shared" si="3"/>
        <v>0</v>
      </c>
      <c r="J41" s="41">
        <f t="shared" si="0"/>
        <v>0</v>
      </c>
      <c r="K41" s="701"/>
    </row>
    <row r="42" spans="1:11" ht="12.75" customHeight="1" x14ac:dyDescent="0.2">
      <c r="A42" s="713"/>
      <c r="B42" s="715" t="s">
        <v>90</v>
      </c>
      <c r="C42" s="35" t="s">
        <v>119</v>
      </c>
      <c r="D42" s="47">
        <f>SUMIF('13'!$N$14:$N$38,"Operations &amp; MaintenanceRecruit./Retention",'13'!$G$14:$G$38)</f>
        <v>0</v>
      </c>
      <c r="E42" s="48">
        <f>SUMIF('13'!$N$49:$N$73,"Operations &amp; MaintenanceRecruit./Retention",'13'!$G$49:$G$73)</f>
        <v>0</v>
      </c>
      <c r="F42" s="48">
        <f>SUMIF('13'!$N$84:$N$108,"Operations &amp; MaintenanceRecruit./Retention",'13'!$G$84:$G$108)</f>
        <v>0</v>
      </c>
      <c r="G42" s="48">
        <f>SUMIF('13'!$N$119:$N$143,"Operations &amp; MaintenanceRecruit./Retention",'13'!$G$119:$G$143)</f>
        <v>0</v>
      </c>
      <c r="H42" s="48">
        <f>SUMIF('13'!$N$154:$N$178,"Operations &amp; MaintenanceRecruit./Retention",'13'!$G$154:$G$178)</f>
        <v>0</v>
      </c>
      <c r="I42" s="48">
        <f>SUMIF('13'!$N$189:$N$213,"Operations &amp; MaintenanceRecruit./Retention",'13'!$G$189:$G$213)</f>
        <v>0</v>
      </c>
      <c r="J42" s="174">
        <f t="shared" si="0"/>
        <v>0</v>
      </c>
      <c r="K42" s="701"/>
    </row>
    <row r="43" spans="1:11" x14ac:dyDescent="0.2">
      <c r="A43" s="713"/>
      <c r="B43" s="717"/>
      <c r="C43" s="36" t="s">
        <v>109</v>
      </c>
      <c r="D43" s="49">
        <f>SUMIF('13'!$N$14:$N$38,"Operations &amp; MaintenanceProf. Development",'13'!$G$14:$G$38)</f>
        <v>0</v>
      </c>
      <c r="E43" s="50">
        <f>SUMIF('13'!$N$49:$N$73,"Operations &amp; MaintenanceProf. Development",'13'!$G$49:$G$73)</f>
        <v>0</v>
      </c>
      <c r="F43" s="50">
        <f>SUMIF('13'!$N$84:$N$108,"Operations &amp; MaintenanceProf. Development",'13'!$G$84:$G$108)</f>
        <v>0</v>
      </c>
      <c r="G43" s="50">
        <f>SUMIF('13'!$N$119:$N$143,"Operations &amp; MaintenanceProf. Development",'13'!$G$119:$G$143)</f>
        <v>0</v>
      </c>
      <c r="H43" s="50">
        <f>SUMIF('13'!$N$154:$N$178,"Operations &amp; MaintenanceProf. Development",'13'!$G$154:$G$178)</f>
        <v>0</v>
      </c>
      <c r="I43" s="50">
        <f>SUMIF('13'!$N$189:$N$213,"Operations &amp; MaintenanceProf. Development",'13'!$G$189:$G$213)</f>
        <v>0</v>
      </c>
      <c r="J43" s="175">
        <f t="shared" si="0"/>
        <v>0</v>
      </c>
      <c r="K43" s="701"/>
    </row>
    <row r="44" spans="1:11" x14ac:dyDescent="0.2">
      <c r="A44" s="713"/>
      <c r="B44" s="717"/>
      <c r="C44" s="36" t="s">
        <v>125</v>
      </c>
      <c r="D44" s="49">
        <f>SUMIF('13'!$N$14:$N$38,"Operations &amp; MaintenanceMentoring/Induction",'13'!$G$14:$G$38)</f>
        <v>0</v>
      </c>
      <c r="E44" s="50">
        <f>SUMIF('13'!$N$49:$N$73,"Operations &amp; MaintenanceMentoring/Induction",'13'!$G$49:$G$73)</f>
        <v>0</v>
      </c>
      <c r="F44" s="50">
        <f>SUMIF('13'!$N$84:$N$108,"Operations &amp; MaintenanceMentoring/Induction",'13'!$G$84:$G$108)</f>
        <v>0</v>
      </c>
      <c r="G44" s="50">
        <f>SUMIF('13'!$N$119:$N$143,"Operations &amp; MaintenanceMentoring/Induction",'13'!$G$119:$G$143)</f>
        <v>0</v>
      </c>
      <c r="H44" s="50">
        <f>SUMIF('13'!$N$154:$N$178,"Operations &amp; MaintenanceMentoring/Induction",'13'!$G$154:$G$178)</f>
        <v>0</v>
      </c>
      <c r="I44" s="50">
        <f>SUMIF('13'!$N$189:$N$213,"Operations &amp; MaintenanceMentoring/Induction",'13'!$G$189:$G$213)</f>
        <v>0</v>
      </c>
      <c r="J44" s="175">
        <f t="shared" si="0"/>
        <v>0</v>
      </c>
      <c r="K44" s="701"/>
    </row>
    <row r="45" spans="1:11" x14ac:dyDescent="0.2">
      <c r="A45" s="713"/>
      <c r="B45" s="717"/>
      <c r="C45" s="36" t="s">
        <v>122</v>
      </c>
      <c r="D45" s="49">
        <f>SUMIF('13'!$N$14:$N$38,"Operations &amp; MaintenanceTeacher Testing",'13'!$G$14:$G$38)</f>
        <v>0</v>
      </c>
      <c r="E45" s="50">
        <f>SUMIF('13'!$N$49:$N$73,"Operations &amp; MaintenanceTeacher Testing",'13'!$G$49:$G$73)</f>
        <v>0</v>
      </c>
      <c r="F45" s="50">
        <f>SUMIF('13'!$N$84:$N$108,"Operations &amp; MaintenanceTeacher Testing",'13'!$G$84:$G$108)</f>
        <v>0</v>
      </c>
      <c r="G45" s="50">
        <f>SUMIF('13'!$N$119:$N$143,"Operations &amp; MaintenanceTeacher Testing",'13'!$G$119:$G$143)</f>
        <v>0</v>
      </c>
      <c r="H45" s="50">
        <f>SUMIF('13'!$N$154:$N$178,"Operations &amp; MaintenanceTeacher Testing",'13'!$G$154:$G$178)</f>
        <v>0</v>
      </c>
      <c r="I45" s="50">
        <f>SUMIF('13'!$N$189:$N$213,"Operations &amp; MaintenanceTeacher Testing",'13'!$G$189:$G$213)</f>
        <v>0</v>
      </c>
      <c r="J45" s="175">
        <f t="shared" si="0"/>
        <v>0</v>
      </c>
      <c r="K45" s="701"/>
    </row>
    <row r="46" spans="1:11" x14ac:dyDescent="0.2">
      <c r="A46" s="713"/>
      <c r="B46" s="717"/>
      <c r="C46" s="36" t="s">
        <v>124</v>
      </c>
      <c r="D46" s="49">
        <f>SUMIF('13'!$N$14:$N$38,"Operations &amp; MaintenancePrincipal Development",'13'!$G$14:$G$38)</f>
        <v>0</v>
      </c>
      <c r="E46" s="50">
        <f>SUMIF('13'!$N$49:$N$73,"Operations &amp; MaintenancePrincipal Development",'13'!$G$49:$G$73)</f>
        <v>0</v>
      </c>
      <c r="F46" s="50">
        <f>SUMIF('13'!$N$84:$N$108,"Operations &amp; MaintenancePrincipal Development",'13'!$G$84:$G$108)</f>
        <v>0</v>
      </c>
      <c r="G46" s="50">
        <f>SUMIF('13'!$N$119:$N$143,"Operations &amp; MaintenancePrincipal Development",'13'!$G$119:$G$143)</f>
        <v>0</v>
      </c>
      <c r="H46" s="50">
        <f>SUMIF('13'!$N$154:$N$178,"Operations &amp; MaintenancePrincipal Development",'13'!$G$154:$G$178)</f>
        <v>0</v>
      </c>
      <c r="I46" s="50">
        <f>SUMIF('13'!$N$189:$N$213,"Operations &amp; MaintenancePrincipal Development",'13'!$G$189:$G$213)</f>
        <v>0</v>
      </c>
      <c r="J46" s="175">
        <f t="shared" si="0"/>
        <v>0</v>
      </c>
      <c r="K46" s="701"/>
    </row>
    <row r="47" spans="1:11" x14ac:dyDescent="0.2">
      <c r="A47" s="713"/>
      <c r="B47" s="717"/>
      <c r="C47" s="36" t="s">
        <v>123</v>
      </c>
      <c r="D47" s="49">
        <f>SUMIF('13'!$N$14:$N$38,"Operations &amp; MaintenanceMerit Pay",'13'!$G$14:$G$38)</f>
        <v>0</v>
      </c>
      <c r="E47" s="50">
        <f>SUMIF('13'!$N$49:$N$73,"Operations &amp; MaintenanceMerit Pay",'13'!$G$49:$G$73)</f>
        <v>0</v>
      </c>
      <c r="F47" s="50">
        <f>SUMIF('13'!$N$84:$N$108,"Operations &amp; MaintenanceMerit Pay",'13'!$G$84:$G$108)</f>
        <v>0</v>
      </c>
      <c r="G47" s="50">
        <f>SUMIF('13'!$N$119:$N$143,"Operations &amp; MaintenanceMerit Pay",'13'!$G$119:$G$143)</f>
        <v>0</v>
      </c>
      <c r="H47" s="50">
        <f>SUMIF('13'!$N$154:$N$178,"Operations &amp; MaintenanceMerit Pay",'13'!$G$154:$G$178)</f>
        <v>0</v>
      </c>
      <c r="I47" s="50">
        <f>SUMIF('13'!$N$189:$N$213,"Operations &amp; MaintenanceMerit Pay",'13'!$G$189:$G$213)</f>
        <v>0</v>
      </c>
      <c r="J47" s="175">
        <f t="shared" si="0"/>
        <v>0</v>
      </c>
      <c r="K47" s="701"/>
    </row>
    <row r="48" spans="1:11" x14ac:dyDescent="0.2">
      <c r="A48" s="713"/>
      <c r="B48" s="717"/>
      <c r="C48" s="36" t="s">
        <v>120</v>
      </c>
      <c r="D48" s="49">
        <f>SUMIF('13'!$N$14:$N$38,"Operations &amp; MaintenanceClass-size Reduction",'13'!$G$14:$G$38)</f>
        <v>0</v>
      </c>
      <c r="E48" s="50">
        <f>SUMIF('13'!$N$49:$N$73,"Operations &amp; MaintenanceClass-size Reduction",'13'!$G$49:$G$73)</f>
        <v>0</v>
      </c>
      <c r="F48" s="50">
        <f>SUMIF('13'!$N$84:$N$108,"Operations &amp; MaintenanceClass-size Reduction",'13'!$G$84:$G$108)</f>
        <v>0</v>
      </c>
      <c r="G48" s="50">
        <f>SUMIF('13'!$N$119:$N$143,"Operations &amp; MaintenanceClass-size Reduction",'13'!$G$119:$G$143)</f>
        <v>0</v>
      </c>
      <c r="H48" s="50">
        <f>SUMIF('13'!$N$154:$N$178,"Operations &amp; MaintenanceClass-size Reduction",'13'!$G$154:$G$178)</f>
        <v>0</v>
      </c>
      <c r="I48" s="50">
        <f>SUMIF('13'!$N$189:$N$213,"Operations &amp; MaintenanceClass-size Reduction",'13'!$G$189:$G$213)</f>
        <v>0</v>
      </c>
      <c r="J48" s="175">
        <f t="shared" si="0"/>
        <v>0</v>
      </c>
      <c r="K48" s="701"/>
    </row>
    <row r="49" spans="1:11" x14ac:dyDescent="0.2">
      <c r="A49" s="713"/>
      <c r="B49" s="717"/>
      <c r="C49" s="36" t="s">
        <v>121</v>
      </c>
      <c r="D49" s="49">
        <f>SUMIF('13'!$N$14:$N$38,"Operations &amp; MaintenanceTeacher Advancement",'13'!$G$14:$G$38)</f>
        <v>0</v>
      </c>
      <c r="E49" s="50">
        <f>SUMIF('13'!$N$49:$N$73,"Operations &amp; MaintenanceTeacher Advancement",'13'!$G$49:$G$73)</f>
        <v>0</v>
      </c>
      <c r="F49" s="50">
        <f>SUMIF('13'!$N$84:$N$108,"Operations &amp; MaintenanceTeacher Advancement",'13'!$G$84:$G$108)</f>
        <v>0</v>
      </c>
      <c r="G49" s="50">
        <f>SUMIF('13'!$N$119:$N$143,"Operations &amp; MaintenanceTeacher Advancement",'13'!$G$119:$G$143)</f>
        <v>0</v>
      </c>
      <c r="H49" s="50">
        <f>SUMIF('13'!$N$154:$N$178,"Operations &amp; MaintenanceTeacher Advancement",'13'!$G$154:$G$178)</f>
        <v>0</v>
      </c>
      <c r="I49" s="50">
        <f>SUMIF('13'!$N$189:$N$213,"Operations &amp; MaintenanceTeacher Advancement",'13'!$G$189:$G$213)</f>
        <v>0</v>
      </c>
      <c r="J49" s="175">
        <f t="shared" si="0"/>
        <v>0</v>
      </c>
      <c r="K49" s="701"/>
    </row>
    <row r="50" spans="1:11" x14ac:dyDescent="0.2">
      <c r="A50" s="713"/>
      <c r="B50" s="717"/>
      <c r="C50" s="36" t="s">
        <v>108</v>
      </c>
      <c r="D50" s="49">
        <f>SUMIF('13'!$N$14:$N$38,"Operations &amp; MaintenanceEquitable Services",'13'!$G$14:$G$38)</f>
        <v>0</v>
      </c>
      <c r="E50" s="50">
        <f>SUMIF('13'!$N$49:$N$73,"Operations &amp; MaintenanceEquitable Services",'13'!$G$49:$G$73)</f>
        <v>0</v>
      </c>
      <c r="F50" s="50">
        <f>SUMIF('13'!$N$84:$N$108,"Operations &amp; MaintenanceEquitable Services",'13'!$G$84:$G$108)</f>
        <v>0</v>
      </c>
      <c r="G50" s="50">
        <f>SUMIF('13'!$N$119:$N$143,"Operations &amp; MaintenanceEquitable Services",'13'!$G$119:$G$143)</f>
        <v>0</v>
      </c>
      <c r="H50" s="50">
        <f>SUMIF('13'!$N$154:$N$178,"Operations &amp; MaintenanceEquitable Services",'13'!$G$154:$G$178)</f>
        <v>0</v>
      </c>
      <c r="I50" s="50">
        <f>SUMIF('13'!$N$189:$N$213,"Operations &amp; MaintenanceEquitable Services",'13'!$G$189:$G$213)</f>
        <v>0</v>
      </c>
      <c r="J50" s="175">
        <f t="shared" si="0"/>
        <v>0</v>
      </c>
      <c r="K50" s="701"/>
    </row>
    <row r="51" spans="1:11" x14ac:dyDescent="0.2">
      <c r="A51" s="713"/>
      <c r="B51" s="717"/>
      <c r="C51" s="36" t="s">
        <v>52</v>
      </c>
      <c r="D51" s="49">
        <f>SUMIF('13'!$N$14:$N$38,"Operations &amp; MaintenanceOther",'13'!$G$14:$G$38)</f>
        <v>0</v>
      </c>
      <c r="E51" s="50">
        <f>SUMIF('13'!$N$49:$N$73,"Operations &amp; MaintenanceOther",'13'!$G$49:$G$73)</f>
        <v>0</v>
      </c>
      <c r="F51" s="50">
        <f>SUMIF('13'!$N$84:$N$108,"Operations &amp; MaintenanceOther",'13'!$G$84:$G$108)</f>
        <v>0</v>
      </c>
      <c r="G51" s="50">
        <f>SUMIF('13'!$N$119:$N$143,"Operations &amp; MaintenanceOther",'13'!$G$119:$G$143)</f>
        <v>0</v>
      </c>
      <c r="H51" s="50">
        <f>SUMIF('13'!$N$154:$N$178,"Operations &amp; MaintenanceOther",'13'!$G$154:$G$178)</f>
        <v>0</v>
      </c>
      <c r="I51" s="50">
        <f>SUMIF('13'!$N$189:$N$213,"Operations &amp; MaintenanceOther",'13'!$G$189:$G$213)</f>
        <v>0</v>
      </c>
      <c r="J51" s="175">
        <f t="shared" si="0"/>
        <v>0</v>
      </c>
      <c r="K51" s="701"/>
    </row>
    <row r="52" spans="1:11" ht="13.5" thickBot="1" x14ac:dyDescent="0.25">
      <c r="A52" s="713"/>
      <c r="B52" s="763"/>
      <c r="C52" s="37" t="s">
        <v>112</v>
      </c>
      <c r="D52" s="38">
        <f t="shared" ref="D52:I52" si="4">SUM(D42:D51)</f>
        <v>0</v>
      </c>
      <c r="E52" s="38">
        <f t="shared" si="4"/>
        <v>0</v>
      </c>
      <c r="F52" s="38">
        <f t="shared" si="4"/>
        <v>0</v>
      </c>
      <c r="G52" s="38">
        <f t="shared" si="4"/>
        <v>0</v>
      </c>
      <c r="H52" s="38">
        <f t="shared" si="4"/>
        <v>0</v>
      </c>
      <c r="I52" s="38">
        <f t="shared" si="4"/>
        <v>0</v>
      </c>
      <c r="J52" s="41">
        <f t="shared" si="0"/>
        <v>0</v>
      </c>
      <c r="K52" s="701"/>
    </row>
    <row r="53" spans="1:11" ht="12.75" customHeight="1" x14ac:dyDescent="0.2">
      <c r="A53" s="713"/>
      <c r="B53" s="715" t="s">
        <v>95</v>
      </c>
      <c r="C53" s="35" t="s">
        <v>119</v>
      </c>
      <c r="D53" s="47">
        <f>SUMIF('13'!$N$14:$N$38,"Student TransportationRecruit./Retention",'13'!$G$14:$G$38)</f>
        <v>0</v>
      </c>
      <c r="E53" s="48">
        <f>SUMIF('13'!$N$49:$N$73,"Student TransportationRecruit./Retention",'13'!$G$49:$G$73)</f>
        <v>0</v>
      </c>
      <c r="F53" s="48">
        <f>SUMIF('13'!$N$84:$N$108,"Student TransportationRecruit./Retention",'13'!$G$84:$G$108)</f>
        <v>0</v>
      </c>
      <c r="G53" s="48">
        <f>SUMIF('13'!$N$119:$N$143,"Student TransportationRecruit./Retention",'13'!$G$119:$G$143)</f>
        <v>0</v>
      </c>
      <c r="H53" s="48">
        <f>SUMIF('13'!$N$154:$N$178,"Student TransportationRecruit./Retention",'13'!$G$154:$G$178)</f>
        <v>0</v>
      </c>
      <c r="I53" s="48">
        <f>SUMIF('13'!$N$189:$N$213,"Student TransportationRecruit./Retention",'13'!$G$189:$G$213)</f>
        <v>0</v>
      </c>
      <c r="J53" s="174">
        <f t="shared" si="0"/>
        <v>0</v>
      </c>
      <c r="K53" s="701"/>
    </row>
    <row r="54" spans="1:11" x14ac:dyDescent="0.2">
      <c r="A54" s="713"/>
      <c r="B54" s="717"/>
      <c r="C54" s="36" t="s">
        <v>109</v>
      </c>
      <c r="D54" s="49">
        <f>SUMIF('13'!$N$14:$N$38,"Student TransportationProf. Development",'13'!$G$14:$G$38)</f>
        <v>0</v>
      </c>
      <c r="E54" s="50">
        <f>SUMIF('13'!$N$49:$N$73,"Student TransportationProf. Development",'13'!$G$49:$G$73)</f>
        <v>0</v>
      </c>
      <c r="F54" s="50">
        <f>SUMIF('13'!$N$84:$N$108,"Student TransportationProf. Development",'13'!$G$84:$G$108)</f>
        <v>0</v>
      </c>
      <c r="G54" s="50">
        <f>SUMIF('13'!$N$119:$N$143,"Student TransportationProf. Development",'13'!$G$119:$G$143)</f>
        <v>0</v>
      </c>
      <c r="H54" s="50">
        <f>SUMIF('13'!$N$154:$N$178,"Student TransportationProf. Development",'13'!$G$154:$G$178)</f>
        <v>0</v>
      </c>
      <c r="I54" s="50">
        <f>SUMIF('13'!$N$189:$N$213,"Student TransportationProf. Development",'13'!$G$189:$G$213)</f>
        <v>0</v>
      </c>
      <c r="J54" s="175">
        <f t="shared" si="0"/>
        <v>0</v>
      </c>
      <c r="K54" s="701"/>
    </row>
    <row r="55" spans="1:11" x14ac:dyDescent="0.2">
      <c r="A55" s="713"/>
      <c r="B55" s="717"/>
      <c r="C55" s="36" t="s">
        <v>125</v>
      </c>
      <c r="D55" s="49">
        <f>SUMIF('13'!$N$14:$N$38,"Student TransportationMentoring/Induction",'13'!$G$14:$G$38)</f>
        <v>0</v>
      </c>
      <c r="E55" s="50">
        <f>SUMIF('13'!$N$49:$N$73,"Student TransportationMentoring/Induction",'13'!$G$49:$G$73)</f>
        <v>0</v>
      </c>
      <c r="F55" s="50">
        <f>SUMIF('13'!$N$84:$N$108,"Student TransportationMentoring/Induction",'13'!$G$84:$G$108)</f>
        <v>0</v>
      </c>
      <c r="G55" s="50">
        <f>SUMIF('13'!$N$119:$N$143,"Student TransportationMentoring/Induction",'13'!$G$119:$G$143)</f>
        <v>0</v>
      </c>
      <c r="H55" s="50">
        <f>SUMIF('13'!$N$154:$N$178,"Student TransportationMentoring/Induction",'13'!$G$154:$G$178)</f>
        <v>0</v>
      </c>
      <c r="I55" s="50">
        <f>SUMIF('13'!$N$189:$N$213,"Student TransportationMentoring/Induction",'13'!$G$189:$G$213)</f>
        <v>0</v>
      </c>
      <c r="J55" s="175">
        <f t="shared" si="0"/>
        <v>0</v>
      </c>
      <c r="K55" s="701"/>
    </row>
    <row r="56" spans="1:11" x14ac:dyDescent="0.2">
      <c r="A56" s="713"/>
      <c r="B56" s="717"/>
      <c r="C56" s="36" t="s">
        <v>122</v>
      </c>
      <c r="D56" s="49">
        <f>SUMIF('13'!$N$14:$N$38,"Student TransportationTeacher Testing",'13'!$G$14:$G$38)</f>
        <v>0</v>
      </c>
      <c r="E56" s="50">
        <f>SUMIF('13'!$N$49:$N$73,"Student TransportationTeacher Testing",'13'!$G$49:$G$73)</f>
        <v>0</v>
      </c>
      <c r="F56" s="50">
        <f>SUMIF('13'!$N$84:$N$108,"Student TransportationTeacher Testing",'13'!$G$84:$G$108)</f>
        <v>0</v>
      </c>
      <c r="G56" s="50">
        <f>SUMIF('13'!$N$119:$N$143,"Student TransportationTeacher Testing",'13'!$G$119:$G$143)</f>
        <v>0</v>
      </c>
      <c r="H56" s="50">
        <f>SUMIF('13'!$N$154:$N$178,"Student TransportationTeacher Testing",'13'!$G$154:$G$178)</f>
        <v>0</v>
      </c>
      <c r="I56" s="50">
        <f>SUMIF('13'!$N$189:$N$213,"Student TransportationTeacher Testing",'13'!$G$189:$G$213)</f>
        <v>0</v>
      </c>
      <c r="J56" s="175">
        <f t="shared" si="0"/>
        <v>0</v>
      </c>
      <c r="K56" s="701"/>
    </row>
    <row r="57" spans="1:11" x14ac:dyDescent="0.2">
      <c r="A57" s="713"/>
      <c r="B57" s="717"/>
      <c r="C57" s="36" t="s">
        <v>124</v>
      </c>
      <c r="D57" s="49">
        <f>SUMIF('13'!$N$14:$N$38,"Student TransportationPrincipal Development",'13'!$G$14:$G$38)</f>
        <v>0</v>
      </c>
      <c r="E57" s="50">
        <f>SUMIF('13'!$N$49:$N$73,"Student TransportationPrincipal Development",'13'!$G$49:$G$73)</f>
        <v>0</v>
      </c>
      <c r="F57" s="50">
        <f>SUMIF('13'!$N$84:$N$108,"Student TransportationPrincipal Development",'13'!$G$84:$G$108)</f>
        <v>0</v>
      </c>
      <c r="G57" s="50">
        <f>SUMIF('13'!$N$119:$N$143,"Student TransportationPrincipal Development",'13'!$G$119:$G$143)</f>
        <v>0</v>
      </c>
      <c r="H57" s="50">
        <f>SUMIF('13'!$N$154:$N$178,"Student TransportationPrincipal Development",'13'!$G$154:$G$178)</f>
        <v>0</v>
      </c>
      <c r="I57" s="50">
        <f>SUMIF('13'!$N$189:$N$213,"Student TransportationPrincipal Development",'13'!$G$189:$G$213)</f>
        <v>0</v>
      </c>
      <c r="J57" s="175">
        <f t="shared" si="0"/>
        <v>0</v>
      </c>
      <c r="K57" s="701"/>
    </row>
    <row r="58" spans="1:11" x14ac:dyDescent="0.2">
      <c r="A58" s="713"/>
      <c r="B58" s="717"/>
      <c r="C58" s="36" t="s">
        <v>123</v>
      </c>
      <c r="D58" s="49">
        <f>SUMIF('13'!$N$14:$N$38,"Student TransportationMerit Pay",'13'!$G$14:$G$38)</f>
        <v>0</v>
      </c>
      <c r="E58" s="50">
        <f>SUMIF('13'!$N$49:$N$73,"Student TransportationMerit Pay",'13'!$G$49:$G$73)</f>
        <v>0</v>
      </c>
      <c r="F58" s="50">
        <f>SUMIF('13'!$N$84:$N$108,"Student TransportationMerit Pay",'13'!$G$84:$G$108)</f>
        <v>0</v>
      </c>
      <c r="G58" s="50">
        <f>SUMIF('13'!$N$119:$N$143,"Student TransportationMerit Pay",'13'!$G$119:$G$143)</f>
        <v>0</v>
      </c>
      <c r="H58" s="50">
        <f>SUMIF('13'!$N$154:$N$178,"Student TransportationMerit Pay",'13'!$G$154:$G$178)</f>
        <v>0</v>
      </c>
      <c r="I58" s="50">
        <f>SUMIF('13'!$N$189:$N$213,"Student TransportationMerit Pay",'13'!$G$189:$G$213)</f>
        <v>0</v>
      </c>
      <c r="J58" s="175">
        <f t="shared" si="0"/>
        <v>0</v>
      </c>
      <c r="K58" s="701"/>
    </row>
    <row r="59" spans="1:11" x14ac:dyDescent="0.2">
      <c r="A59" s="713"/>
      <c r="B59" s="717"/>
      <c r="C59" s="36" t="s">
        <v>120</v>
      </c>
      <c r="D59" s="49">
        <f>SUMIF('13'!$N$14:$N$38,"Student TransportationClass-size Reduction",'13'!$G$14:$G$38)</f>
        <v>0</v>
      </c>
      <c r="E59" s="50">
        <f>SUMIF('13'!$N$49:$N$73,"Student TransportationClass-size Reduction",'13'!$G$49:$G$73)</f>
        <v>0</v>
      </c>
      <c r="F59" s="50">
        <f>SUMIF('13'!$N$84:$N$108,"Student TransportationClass-size Reduction",'13'!$G$84:$G$108)</f>
        <v>0</v>
      </c>
      <c r="G59" s="50">
        <f>SUMIF('13'!$N$119:$N$143,"Student TransportationClass-size Reduction",'13'!$G$119:$G$143)</f>
        <v>0</v>
      </c>
      <c r="H59" s="50">
        <f>SUMIF('13'!$N$154:$N$178,"Student TransportationClass-size Reduction",'13'!$G$154:$G$178)</f>
        <v>0</v>
      </c>
      <c r="I59" s="50">
        <f>SUMIF('13'!$N$189:$N$213,"Student TransportationClass-size Reduction",'13'!$G$189:$G$213)</f>
        <v>0</v>
      </c>
      <c r="J59" s="175">
        <f t="shared" si="0"/>
        <v>0</v>
      </c>
      <c r="K59" s="701"/>
    </row>
    <row r="60" spans="1:11" x14ac:dyDescent="0.2">
      <c r="A60" s="713"/>
      <c r="B60" s="717"/>
      <c r="C60" s="36" t="s">
        <v>121</v>
      </c>
      <c r="D60" s="49">
        <f>SUMIF('13'!$N$14:$N$38,"Student TransportationTeacher Advancement",'13'!$G$14:$G$38)</f>
        <v>0</v>
      </c>
      <c r="E60" s="50">
        <f>SUMIF('13'!$N$49:$N$73,"Student TransportationTeacher Advancement",'13'!$G$49:$G$73)</f>
        <v>0</v>
      </c>
      <c r="F60" s="50">
        <f>SUMIF('13'!$N$84:$N$108,"Student TransportationTeacher Advancement",'13'!$G$84:$G$108)</f>
        <v>0</v>
      </c>
      <c r="G60" s="50">
        <f>SUMIF('13'!$N$119:$N$143,"Student TransportationTeacher Advancement",'13'!$G$119:$G$143)</f>
        <v>0</v>
      </c>
      <c r="H60" s="50">
        <f>SUMIF('13'!$N$154:$N$178,"Student TransportationTeacher Advancement",'13'!$G$154:$G$178)</f>
        <v>0</v>
      </c>
      <c r="I60" s="50">
        <f>SUMIF('13'!$N$189:$N$213,"Student TransportationTeacher Advancement",'13'!$G$189:$G$213)</f>
        <v>0</v>
      </c>
      <c r="J60" s="175">
        <f t="shared" si="0"/>
        <v>0</v>
      </c>
      <c r="K60" s="701"/>
    </row>
    <row r="61" spans="1:11" x14ac:dyDescent="0.2">
      <c r="A61" s="713"/>
      <c r="B61" s="717"/>
      <c r="C61" s="36" t="s">
        <v>108</v>
      </c>
      <c r="D61" s="49">
        <f>SUMIF('13'!$N$14:$N$38,"Student TransportationEquitable Services",'13'!$G$14:$G$38)</f>
        <v>0</v>
      </c>
      <c r="E61" s="50">
        <f>SUMIF('13'!$N$49:$N$73,"Student TransportationEquitable Services",'13'!$G$49:$G$73)</f>
        <v>0</v>
      </c>
      <c r="F61" s="50">
        <f>SUMIF('13'!$N$84:$N$108,"Student TransportationEquitable Services",'13'!$G$84:$G$108)</f>
        <v>0</v>
      </c>
      <c r="G61" s="50">
        <f>SUMIF('13'!$N$119:$N$143,"Student TransportationEquitable Services",'13'!$G$119:$G$143)</f>
        <v>0</v>
      </c>
      <c r="H61" s="50">
        <f>SUMIF('13'!$N$154:$N$178,"Student TransportationEquitable Services",'13'!$G$154:$G$178)</f>
        <v>0</v>
      </c>
      <c r="I61" s="50">
        <f>SUMIF('13'!$N$189:$N$213,"Student TransportationEquitable Services",'13'!$G$189:$G$213)</f>
        <v>0</v>
      </c>
      <c r="J61" s="175">
        <f t="shared" si="0"/>
        <v>0</v>
      </c>
      <c r="K61" s="701"/>
    </row>
    <row r="62" spans="1:11" x14ac:dyDescent="0.2">
      <c r="A62" s="713"/>
      <c r="B62" s="717"/>
      <c r="C62" s="36" t="s">
        <v>52</v>
      </c>
      <c r="D62" s="49">
        <f>SUMIF('13'!$N$14:$N$38,"Student TransportationOther",'13'!$G$14:$G$38)</f>
        <v>0</v>
      </c>
      <c r="E62" s="50">
        <f>SUMIF('13'!$N$49:$N$73,"Student TransportationOther",'13'!$G$49:$G$73)</f>
        <v>0</v>
      </c>
      <c r="F62" s="50">
        <f>SUMIF('13'!$N$84:$N$108,"Student TransportationOther",'13'!$G$84:$G$108)</f>
        <v>0</v>
      </c>
      <c r="G62" s="50">
        <f>SUMIF('13'!$N$119:$N$143,"Student TransportationOther",'13'!$G$119:$G$143)</f>
        <v>0</v>
      </c>
      <c r="H62" s="50">
        <f>SUMIF('13'!$N$154:$N$178,"Student TransportationOther",'13'!$G$154:$G$178)</f>
        <v>0</v>
      </c>
      <c r="I62" s="50">
        <f>SUMIF('13'!$N$189:$N$213,"Student TransportationOther",'13'!$G$189:$G$213)</f>
        <v>0</v>
      </c>
      <c r="J62" s="175">
        <f t="shared" si="0"/>
        <v>0</v>
      </c>
      <c r="K62" s="701"/>
    </row>
    <row r="63" spans="1:11" ht="13.5" thickBot="1" x14ac:dyDescent="0.25">
      <c r="A63" s="713"/>
      <c r="B63" s="763"/>
      <c r="C63" s="37" t="s">
        <v>112</v>
      </c>
      <c r="D63" s="38">
        <f t="shared" ref="D63:I63" si="5">SUM(D53:D62)</f>
        <v>0</v>
      </c>
      <c r="E63" s="38">
        <f t="shared" si="5"/>
        <v>0</v>
      </c>
      <c r="F63" s="38">
        <f t="shared" si="5"/>
        <v>0</v>
      </c>
      <c r="G63" s="38">
        <f t="shared" si="5"/>
        <v>0</v>
      </c>
      <c r="H63" s="38">
        <f t="shared" si="5"/>
        <v>0</v>
      </c>
      <c r="I63" s="38">
        <f t="shared" si="5"/>
        <v>0</v>
      </c>
      <c r="J63" s="41">
        <f t="shared" si="0"/>
        <v>0</v>
      </c>
      <c r="K63" s="701"/>
    </row>
    <row r="64" spans="1:11" ht="12.75" customHeight="1" x14ac:dyDescent="0.2">
      <c r="A64" s="713"/>
      <c r="B64" s="715" t="s">
        <v>52</v>
      </c>
      <c r="C64" s="35" t="s">
        <v>119</v>
      </c>
      <c r="D64" s="47">
        <f>SUMIF('13'!$N$14:$N$38,"OtherRecruit./Retention",'13'!$G$14:$G$38)</f>
        <v>0</v>
      </c>
      <c r="E64" s="48">
        <f>SUMIF('13'!$N$49:$N$73,"OtherRecruit./Retention",'13'!$G$49:$G$73)</f>
        <v>0</v>
      </c>
      <c r="F64" s="48">
        <f>SUMIF('13'!$N$84:$N$108,"OtherRecruit./Retention",'13'!$G$84:$G$108)</f>
        <v>0</v>
      </c>
      <c r="G64" s="48">
        <f>SUMIF('13'!$N$119:$N$143,"OtherRecruit./Retention",'13'!$G$119:$G$143)</f>
        <v>0</v>
      </c>
      <c r="H64" s="48">
        <f>SUMIF('13'!$N$154:$N$178,"OtherRecruit./Retention",'13'!$G$154:$G$178)</f>
        <v>0</v>
      </c>
      <c r="I64" s="48">
        <f>SUMIF('13'!$N$189:$N$213,"OtherRecruit./Retention",'13'!$G$189:$G$213)</f>
        <v>0</v>
      </c>
      <c r="J64" s="174">
        <f t="shared" si="0"/>
        <v>0</v>
      </c>
      <c r="K64" s="701"/>
    </row>
    <row r="65" spans="1:11" x14ac:dyDescent="0.2">
      <c r="A65" s="713"/>
      <c r="B65" s="717"/>
      <c r="C65" s="36" t="s">
        <v>109</v>
      </c>
      <c r="D65" s="49">
        <f>SUMIF('13'!$N$14:$N$38,"OtherProf. Development",'13'!$G$14:$G$38)</f>
        <v>0</v>
      </c>
      <c r="E65" s="50">
        <f>SUMIF('13'!$N$49:$N$73,"OtherProf. Development",'13'!$G$49:$G$73)</f>
        <v>0</v>
      </c>
      <c r="F65" s="50">
        <f>SUMIF('13'!$N$84:$N$108,"OtherProf. Development",'13'!$G$84:$G$108)</f>
        <v>0</v>
      </c>
      <c r="G65" s="50">
        <f>SUMIF('13'!$N$119:$N$143,"OtherProf. Development",'13'!$G$119:$G$143)</f>
        <v>0</v>
      </c>
      <c r="H65" s="50">
        <f>SUMIF('13'!$N$154:$N$178,"OtherProf. Development",'13'!$G$154:$G$178)</f>
        <v>0</v>
      </c>
      <c r="I65" s="50">
        <f>SUMIF('13'!$N$189:$N$213,"OtherProf. Development",'13'!$G$189:$G$213)</f>
        <v>0</v>
      </c>
      <c r="J65" s="175">
        <f t="shared" si="0"/>
        <v>0</v>
      </c>
      <c r="K65" s="701"/>
    </row>
    <row r="66" spans="1:11" x14ac:dyDescent="0.2">
      <c r="A66" s="713"/>
      <c r="B66" s="717"/>
      <c r="C66" s="36" t="s">
        <v>125</v>
      </c>
      <c r="D66" s="49">
        <f>SUMIF('13'!$N$14:$N$38,"OtherMentoring/Induction",'13'!$G$14:$G$38)</f>
        <v>0</v>
      </c>
      <c r="E66" s="50">
        <f>SUMIF('13'!$N$49:$N$73,"OtherMentoring/Induction",'13'!$G$49:$G$73)</f>
        <v>0</v>
      </c>
      <c r="F66" s="50">
        <f>SUMIF('13'!$N$84:$N$108,"OtherMentoring/Induction",'13'!$G$84:$G$108)</f>
        <v>0</v>
      </c>
      <c r="G66" s="50">
        <f>SUMIF('13'!$N$119:$N$143,"OtherMentoring/Induction",'13'!$G$119:$G$143)</f>
        <v>0</v>
      </c>
      <c r="H66" s="50">
        <f>SUMIF('13'!$N$154:$N$178,"OtherMentoring/Induction",'13'!$G$154:$G$178)</f>
        <v>0</v>
      </c>
      <c r="I66" s="50">
        <f>SUMIF('13'!$N$189:$N$213,"OtherMentoring/Induction",'13'!$G$189:$G$213)</f>
        <v>0</v>
      </c>
      <c r="J66" s="175">
        <f t="shared" si="0"/>
        <v>0</v>
      </c>
      <c r="K66" s="701"/>
    </row>
    <row r="67" spans="1:11" x14ac:dyDescent="0.2">
      <c r="A67" s="713"/>
      <c r="B67" s="717"/>
      <c r="C67" s="36" t="s">
        <v>122</v>
      </c>
      <c r="D67" s="49">
        <f>SUMIF('13'!$N$14:$N$38,"OtherTeacher Testing",'13'!$G$14:$G$38)</f>
        <v>0</v>
      </c>
      <c r="E67" s="50">
        <f>SUMIF('13'!$N$49:$N$73,"OtherTeacher Testing",'13'!$G$49:$G$73)</f>
        <v>0</v>
      </c>
      <c r="F67" s="50">
        <f>SUMIF('13'!$N$84:$N$108,"OtherTeacher Testing",'13'!$G$84:$G$108)</f>
        <v>0</v>
      </c>
      <c r="G67" s="50">
        <f>SUMIF('13'!$N$119:$N$143,"OtherTeacher Testing",'13'!$G$119:$G$143)</f>
        <v>0</v>
      </c>
      <c r="H67" s="50">
        <f>SUMIF('13'!$N$154:$N$178,"OtherTeacher Testing",'13'!$G$154:$G$178)</f>
        <v>0</v>
      </c>
      <c r="I67" s="50">
        <f>SUMIF('13'!$N$189:$N$213,"OtherTeacher Testing",'13'!$G$189:$G$213)</f>
        <v>0</v>
      </c>
      <c r="J67" s="175">
        <f t="shared" si="0"/>
        <v>0</v>
      </c>
      <c r="K67" s="701"/>
    </row>
    <row r="68" spans="1:11" x14ac:dyDescent="0.2">
      <c r="A68" s="713"/>
      <c r="B68" s="717"/>
      <c r="C68" s="36" t="s">
        <v>124</v>
      </c>
      <c r="D68" s="49">
        <f>SUMIF('13'!$N$14:$N$38,"OtherPrincipal Development",'13'!$G$14:$G$38)</f>
        <v>0</v>
      </c>
      <c r="E68" s="50">
        <f>SUMIF('13'!$N$49:$N$73,"OtherPrincipal Development",'13'!$G$49:$G$73)</f>
        <v>0</v>
      </c>
      <c r="F68" s="50">
        <f>SUMIF('13'!$N$84:$N$108,"OtherPrincipal Development",'13'!$G$84:$G$108)</f>
        <v>0</v>
      </c>
      <c r="G68" s="50">
        <f>SUMIF('13'!$N$119:$N$143,"OtherPrincipal Development",'13'!$G$119:$G$143)</f>
        <v>0</v>
      </c>
      <c r="H68" s="50">
        <f>SUMIF('13'!$N$154:$N$178,"OtherPrincipal Development",'13'!$G$154:$G$178)</f>
        <v>0</v>
      </c>
      <c r="I68" s="50">
        <f>SUMIF('13'!$N$189:$N$213,"OtherPrincipal Development",'13'!$G$189:$G$213)</f>
        <v>0</v>
      </c>
      <c r="J68" s="175">
        <f t="shared" si="0"/>
        <v>0</v>
      </c>
      <c r="K68" s="701"/>
    </row>
    <row r="69" spans="1:11" x14ac:dyDescent="0.2">
      <c r="A69" s="713"/>
      <c r="B69" s="717"/>
      <c r="C69" s="36" t="s">
        <v>123</v>
      </c>
      <c r="D69" s="49">
        <f>SUMIF('13'!$N$14:$N$38,"OtherMerit Pay",'13'!$G$14:$G$38)</f>
        <v>0</v>
      </c>
      <c r="E69" s="50">
        <f>SUMIF('13'!$N$49:$N$73,"OtherMerit Pay",'13'!$G$49:$G$73)</f>
        <v>0</v>
      </c>
      <c r="F69" s="50">
        <f>SUMIF('13'!$N$84:$N$108,"OtherMerit Pay",'13'!$G$84:$G$108)</f>
        <v>0</v>
      </c>
      <c r="G69" s="50">
        <f>SUMIF('13'!$N$119:$N$143,"OtherMerit Pay",'13'!$G$119:$G$143)</f>
        <v>0</v>
      </c>
      <c r="H69" s="50">
        <f>SUMIF('13'!$N$154:$N$178,"OtherMerit Pay",'13'!$G$154:$G$178)</f>
        <v>0</v>
      </c>
      <c r="I69" s="50">
        <f>SUMIF('13'!$N$189:$N$213,"OtherMerit Pay",'13'!$G$189:$G$213)</f>
        <v>0</v>
      </c>
      <c r="J69" s="175">
        <f t="shared" si="0"/>
        <v>0</v>
      </c>
      <c r="K69" s="701"/>
    </row>
    <row r="70" spans="1:11" x14ac:dyDescent="0.2">
      <c r="A70" s="713"/>
      <c r="B70" s="717"/>
      <c r="C70" s="36" t="s">
        <v>120</v>
      </c>
      <c r="D70" s="49">
        <f>SUMIF('13'!$N$14:$N$38,"OtherClass-size Reduction",'13'!$G$14:$G$38)</f>
        <v>0</v>
      </c>
      <c r="E70" s="50">
        <f>SUMIF('13'!$N$49:$N$73,"OtherClass-size Reduction",'13'!$G$49:$G$73)</f>
        <v>0</v>
      </c>
      <c r="F70" s="50">
        <f>SUMIF('13'!$N$84:$N$108,"OtherClass-size Reduction",'13'!$G$84:$G$108)</f>
        <v>0</v>
      </c>
      <c r="G70" s="50">
        <f>SUMIF('13'!$N$119:$N$143,"OtherClass-size Reduction",'13'!$G$119:$G$143)</f>
        <v>0</v>
      </c>
      <c r="H70" s="50">
        <f>SUMIF('13'!$N$154:$N$178,"OtherClass-size Reduction",'13'!$G$154:$G$178)</f>
        <v>0</v>
      </c>
      <c r="I70" s="50">
        <f>SUMIF('13'!$N$189:$N$213,"OtherClass-size Reduction",'13'!$G$189:$G$213)</f>
        <v>0</v>
      </c>
      <c r="J70" s="175">
        <f t="shared" si="0"/>
        <v>0</v>
      </c>
      <c r="K70" s="701"/>
    </row>
    <row r="71" spans="1:11" x14ac:dyDescent="0.2">
      <c r="A71" s="713"/>
      <c r="B71" s="717"/>
      <c r="C71" s="36" t="s">
        <v>121</v>
      </c>
      <c r="D71" s="49">
        <f>SUMIF('13'!$N$14:$N$38,"OtherTeacher Advancement",'13'!$G$14:$G$38)</f>
        <v>0</v>
      </c>
      <c r="E71" s="50">
        <f>SUMIF('13'!$N$49:$N$73,"OtherTeacher Advancement",'13'!$G$49:$G$73)</f>
        <v>0</v>
      </c>
      <c r="F71" s="50">
        <f>SUMIF('13'!$N$84:$N$108,"OtherTeacher Advancement",'13'!$G$84:$G$108)</f>
        <v>0</v>
      </c>
      <c r="G71" s="50">
        <f>SUMIF('13'!$N$119:$N$143,"OtherTeacher Advancement",'13'!$G$119:$G$143)</f>
        <v>0</v>
      </c>
      <c r="H71" s="50">
        <f>SUMIF('13'!$N$154:$N$178,"OtherTeacher Advancement",'13'!$G$154:$G$178)</f>
        <v>0</v>
      </c>
      <c r="I71" s="50">
        <f>SUMIF('13'!$N$189:$N$213,"OtherTeacher Advancement",'13'!$G$189:$G$213)</f>
        <v>0</v>
      </c>
      <c r="J71" s="175">
        <f t="shared" si="0"/>
        <v>0</v>
      </c>
      <c r="K71" s="701"/>
    </row>
    <row r="72" spans="1:11" x14ac:dyDescent="0.2">
      <c r="A72" s="713"/>
      <c r="B72" s="717"/>
      <c r="C72" s="36" t="s">
        <v>108</v>
      </c>
      <c r="D72" s="49">
        <f>SUMIF('13'!$N$14:$N$38,"OtherEquitable Services",'13'!$G$14:$G$38)</f>
        <v>0</v>
      </c>
      <c r="E72" s="50">
        <f>SUMIF('13'!$N$49:$N$73,"OtherEquitable Services",'13'!$G$49:$G$73)</f>
        <v>0</v>
      </c>
      <c r="F72" s="50">
        <f>SUMIF('13'!$N$84:$N$108,"OtherEquitable Services",'13'!$G$84:$G$108)</f>
        <v>0</v>
      </c>
      <c r="G72" s="50">
        <f>SUMIF('13'!$N$119:$N$143,"OtherEquitable Services",'13'!$G$119:$G$143)</f>
        <v>0</v>
      </c>
      <c r="H72" s="50">
        <f>SUMIF('13'!$N$154:$N$178,"OtherEquitable Services",'13'!$G$154:$G$178)</f>
        <v>0</v>
      </c>
      <c r="I72" s="50">
        <f>SUMIF('13'!$N$189:$N$213,"OtherEquitable Services",'13'!$G$189:$G$213)</f>
        <v>0</v>
      </c>
      <c r="J72" s="175">
        <f t="shared" si="0"/>
        <v>0</v>
      </c>
      <c r="K72" s="701"/>
    </row>
    <row r="73" spans="1:11" x14ac:dyDescent="0.2">
      <c r="A73" s="713"/>
      <c r="B73" s="717"/>
      <c r="C73" s="36" t="s">
        <v>52</v>
      </c>
      <c r="D73" s="49">
        <f>SUMIF('13'!$N$14:$N$38,"OtherOther",'13'!$G$14:$G$38)</f>
        <v>0</v>
      </c>
      <c r="E73" s="50">
        <f>SUMIF('13'!$N$49:$N$73,"OtherOther",'13'!$G$49:$G$73)</f>
        <v>0</v>
      </c>
      <c r="F73" s="50">
        <f>SUMIF('13'!$N$84:$N$108,"OtherOther",'13'!$G$84:$G$108)</f>
        <v>0</v>
      </c>
      <c r="G73" s="50">
        <f>SUMIF('13'!$N$119:$N$143,"OtherOther",'13'!$G$119:$G$143)</f>
        <v>0</v>
      </c>
      <c r="H73" s="50">
        <f>SUMIF('13'!$N$154:$N$178,"OtherOther",'13'!$G$154:$G$178)</f>
        <v>0</v>
      </c>
      <c r="I73" s="50">
        <f>SUMIF('13'!$N$189:$N$213,"OtherOther",'13'!$G$189:$G$213)</f>
        <v>0</v>
      </c>
      <c r="J73" s="175">
        <f t="shared" si="0"/>
        <v>0</v>
      </c>
      <c r="K73" s="701"/>
    </row>
    <row r="74" spans="1:11" ht="13.5" thickBot="1" x14ac:dyDescent="0.25">
      <c r="A74" s="713"/>
      <c r="B74" s="763"/>
      <c r="C74" s="37" t="s">
        <v>112</v>
      </c>
      <c r="D74" s="38">
        <f t="shared" ref="D74:I74" si="6">SUM(D64:D73)</f>
        <v>0</v>
      </c>
      <c r="E74" s="38">
        <f t="shared" si="6"/>
        <v>0</v>
      </c>
      <c r="F74" s="38">
        <f t="shared" si="6"/>
        <v>0</v>
      </c>
      <c r="G74" s="38">
        <f t="shared" si="6"/>
        <v>0</v>
      </c>
      <c r="H74" s="38">
        <f t="shared" si="6"/>
        <v>0</v>
      </c>
      <c r="I74" s="38">
        <f t="shared" si="6"/>
        <v>0</v>
      </c>
      <c r="J74" s="41">
        <f t="shared" si="0"/>
        <v>0</v>
      </c>
      <c r="K74" s="701"/>
    </row>
    <row r="75" spans="1:11" ht="12.75" customHeight="1" x14ac:dyDescent="0.2">
      <c r="A75" s="713"/>
      <c r="B75" s="719" t="s">
        <v>113</v>
      </c>
      <c r="C75" s="43" t="s">
        <v>119</v>
      </c>
      <c r="D75" s="51">
        <f t="shared" ref="D75:I75" si="7">SUM(D9,D20,D31,D42,D53,D64)</f>
        <v>0</v>
      </c>
      <c r="E75" s="52">
        <f t="shared" si="7"/>
        <v>0</v>
      </c>
      <c r="F75" s="52">
        <f t="shared" si="7"/>
        <v>0</v>
      </c>
      <c r="G75" s="52">
        <f t="shared" si="7"/>
        <v>0</v>
      </c>
      <c r="H75" s="52">
        <f t="shared" si="7"/>
        <v>0</v>
      </c>
      <c r="I75" s="52">
        <f t="shared" si="7"/>
        <v>0</v>
      </c>
      <c r="J75" s="44">
        <f t="shared" ref="J75:J85" si="8">SUM(D75:I75)</f>
        <v>0</v>
      </c>
      <c r="K75" s="701"/>
    </row>
    <row r="76" spans="1:11" x14ac:dyDescent="0.2">
      <c r="A76" s="713"/>
      <c r="B76" s="721"/>
      <c r="C76" s="45" t="s">
        <v>109</v>
      </c>
      <c r="D76" s="53">
        <f t="shared" ref="D76:I84" si="9">SUM(D10,D21,D32,D43,D54,D65)</f>
        <v>0</v>
      </c>
      <c r="E76" s="54">
        <f t="shared" si="9"/>
        <v>0</v>
      </c>
      <c r="F76" s="54">
        <f t="shared" si="9"/>
        <v>0</v>
      </c>
      <c r="G76" s="54">
        <f t="shared" si="9"/>
        <v>0</v>
      </c>
      <c r="H76" s="54">
        <f t="shared" si="9"/>
        <v>0</v>
      </c>
      <c r="I76" s="54">
        <f t="shared" si="9"/>
        <v>0</v>
      </c>
      <c r="J76" s="46">
        <f t="shared" si="8"/>
        <v>0</v>
      </c>
      <c r="K76" s="701"/>
    </row>
    <row r="77" spans="1:11" x14ac:dyDescent="0.2">
      <c r="A77" s="713"/>
      <c r="B77" s="721"/>
      <c r="C77" s="45" t="s">
        <v>125</v>
      </c>
      <c r="D77" s="53">
        <f t="shared" si="9"/>
        <v>0</v>
      </c>
      <c r="E77" s="54">
        <f t="shared" si="9"/>
        <v>0</v>
      </c>
      <c r="F77" s="54">
        <f t="shared" si="9"/>
        <v>0</v>
      </c>
      <c r="G77" s="54">
        <f t="shared" si="9"/>
        <v>0</v>
      </c>
      <c r="H77" s="54">
        <f t="shared" si="9"/>
        <v>0</v>
      </c>
      <c r="I77" s="54">
        <f t="shared" si="9"/>
        <v>0</v>
      </c>
      <c r="J77" s="46">
        <f t="shared" si="8"/>
        <v>0</v>
      </c>
      <c r="K77" s="701"/>
    </row>
    <row r="78" spans="1:11" x14ac:dyDescent="0.2">
      <c r="A78" s="713"/>
      <c r="B78" s="721"/>
      <c r="C78" s="45" t="s">
        <v>122</v>
      </c>
      <c r="D78" s="53">
        <f t="shared" si="9"/>
        <v>0</v>
      </c>
      <c r="E78" s="54">
        <f t="shared" si="9"/>
        <v>0</v>
      </c>
      <c r="F78" s="54">
        <f t="shared" si="9"/>
        <v>0</v>
      </c>
      <c r="G78" s="54">
        <f t="shared" si="9"/>
        <v>0</v>
      </c>
      <c r="H78" s="54">
        <f t="shared" si="9"/>
        <v>0</v>
      </c>
      <c r="I78" s="54">
        <f t="shared" si="9"/>
        <v>0</v>
      </c>
      <c r="J78" s="46">
        <f t="shared" si="8"/>
        <v>0</v>
      </c>
      <c r="K78" s="701"/>
    </row>
    <row r="79" spans="1:11" x14ac:dyDescent="0.2">
      <c r="A79" s="713"/>
      <c r="B79" s="721"/>
      <c r="C79" s="45" t="s">
        <v>124</v>
      </c>
      <c r="D79" s="53">
        <f t="shared" si="9"/>
        <v>0</v>
      </c>
      <c r="E79" s="54">
        <f t="shared" si="9"/>
        <v>0</v>
      </c>
      <c r="F79" s="54">
        <f t="shared" si="9"/>
        <v>0</v>
      </c>
      <c r="G79" s="54">
        <f t="shared" si="9"/>
        <v>0</v>
      </c>
      <c r="H79" s="54">
        <f t="shared" si="9"/>
        <v>0</v>
      </c>
      <c r="I79" s="54">
        <f t="shared" si="9"/>
        <v>0</v>
      </c>
      <c r="J79" s="46">
        <f t="shared" si="8"/>
        <v>0</v>
      </c>
      <c r="K79" s="701"/>
    </row>
    <row r="80" spans="1:11" x14ac:dyDescent="0.2">
      <c r="A80" s="713"/>
      <c r="B80" s="721"/>
      <c r="C80" s="45" t="s">
        <v>123</v>
      </c>
      <c r="D80" s="53">
        <f t="shared" si="9"/>
        <v>0</v>
      </c>
      <c r="E80" s="54">
        <f t="shared" si="9"/>
        <v>0</v>
      </c>
      <c r="F80" s="54">
        <f t="shared" si="9"/>
        <v>0</v>
      </c>
      <c r="G80" s="54">
        <f t="shared" si="9"/>
        <v>0</v>
      </c>
      <c r="H80" s="54">
        <f t="shared" si="9"/>
        <v>0</v>
      </c>
      <c r="I80" s="54">
        <f t="shared" si="9"/>
        <v>0</v>
      </c>
      <c r="J80" s="46">
        <f t="shared" si="8"/>
        <v>0</v>
      </c>
      <c r="K80" s="701"/>
    </row>
    <row r="81" spans="1:11" x14ac:dyDescent="0.2">
      <c r="A81" s="713"/>
      <c r="B81" s="721"/>
      <c r="C81" s="45" t="s">
        <v>120</v>
      </c>
      <c r="D81" s="53">
        <f t="shared" si="9"/>
        <v>0</v>
      </c>
      <c r="E81" s="54">
        <f t="shared" si="9"/>
        <v>0</v>
      </c>
      <c r="F81" s="54">
        <f t="shared" si="9"/>
        <v>0</v>
      </c>
      <c r="G81" s="54">
        <f t="shared" si="9"/>
        <v>0</v>
      </c>
      <c r="H81" s="54">
        <f t="shared" si="9"/>
        <v>0</v>
      </c>
      <c r="I81" s="54">
        <f t="shared" si="9"/>
        <v>0</v>
      </c>
      <c r="J81" s="46">
        <f t="shared" si="8"/>
        <v>0</v>
      </c>
      <c r="K81" s="701"/>
    </row>
    <row r="82" spans="1:11" x14ac:dyDescent="0.2">
      <c r="A82" s="713"/>
      <c r="B82" s="721"/>
      <c r="C82" s="45" t="s">
        <v>121</v>
      </c>
      <c r="D82" s="53">
        <f t="shared" si="9"/>
        <v>0</v>
      </c>
      <c r="E82" s="54">
        <f t="shared" si="9"/>
        <v>0</v>
      </c>
      <c r="F82" s="54">
        <f t="shared" si="9"/>
        <v>0</v>
      </c>
      <c r="G82" s="54">
        <f t="shared" si="9"/>
        <v>0</v>
      </c>
      <c r="H82" s="54">
        <f t="shared" si="9"/>
        <v>0</v>
      </c>
      <c r="I82" s="54">
        <f t="shared" si="9"/>
        <v>0</v>
      </c>
      <c r="J82" s="46">
        <f t="shared" si="8"/>
        <v>0</v>
      </c>
      <c r="K82" s="701"/>
    </row>
    <row r="83" spans="1:11" x14ac:dyDescent="0.2">
      <c r="A83" s="713"/>
      <c r="B83" s="721"/>
      <c r="C83" s="45" t="s">
        <v>108</v>
      </c>
      <c r="D83" s="53">
        <f t="shared" si="9"/>
        <v>0</v>
      </c>
      <c r="E83" s="54">
        <f t="shared" si="9"/>
        <v>0</v>
      </c>
      <c r="F83" s="54">
        <f t="shared" si="9"/>
        <v>0</v>
      </c>
      <c r="G83" s="54">
        <f t="shared" si="9"/>
        <v>0</v>
      </c>
      <c r="H83" s="54">
        <f t="shared" si="9"/>
        <v>0</v>
      </c>
      <c r="I83" s="54">
        <f t="shared" si="9"/>
        <v>0</v>
      </c>
      <c r="J83" s="46">
        <f t="shared" si="8"/>
        <v>0</v>
      </c>
      <c r="K83" s="701"/>
    </row>
    <row r="84" spans="1:11" x14ac:dyDescent="0.2">
      <c r="A84" s="713"/>
      <c r="B84" s="721"/>
      <c r="C84" s="45" t="s">
        <v>52</v>
      </c>
      <c r="D84" s="53">
        <f t="shared" si="9"/>
        <v>0</v>
      </c>
      <c r="E84" s="54">
        <f t="shared" si="9"/>
        <v>0</v>
      </c>
      <c r="F84" s="54">
        <f t="shared" si="9"/>
        <v>0</v>
      </c>
      <c r="G84" s="54">
        <f t="shared" si="9"/>
        <v>0</v>
      </c>
      <c r="H84" s="54">
        <f t="shared" si="9"/>
        <v>0</v>
      </c>
      <c r="I84" s="54">
        <f t="shared" si="9"/>
        <v>0</v>
      </c>
      <c r="J84" s="46">
        <f t="shared" si="8"/>
        <v>0</v>
      </c>
      <c r="K84" s="701"/>
    </row>
    <row r="85" spans="1:11" ht="13.5" thickBot="1" x14ac:dyDescent="0.25">
      <c r="A85" s="714"/>
      <c r="B85" s="764"/>
      <c r="C85" s="39" t="s">
        <v>114</v>
      </c>
      <c r="D85" s="40">
        <f t="shared" ref="D85:I85" si="10">SUM(D75:D84)</f>
        <v>0</v>
      </c>
      <c r="E85" s="40">
        <f t="shared" si="10"/>
        <v>0</v>
      </c>
      <c r="F85" s="40">
        <f t="shared" si="10"/>
        <v>0</v>
      </c>
      <c r="G85" s="40">
        <f t="shared" si="10"/>
        <v>0</v>
      </c>
      <c r="H85" s="40">
        <f t="shared" si="10"/>
        <v>0</v>
      </c>
      <c r="I85" s="40">
        <f t="shared" si="10"/>
        <v>0</v>
      </c>
      <c r="J85" s="42">
        <f t="shared" si="8"/>
        <v>0</v>
      </c>
      <c r="K85" s="702"/>
    </row>
    <row r="86" spans="1:11" ht="13.5" thickTop="1" x14ac:dyDescent="0.2"/>
  </sheetData>
  <sheetProtection password="E686" sheet="1"/>
  <mergeCells count="18">
    <mergeCell ref="D1:J4"/>
    <mergeCell ref="K1:K85"/>
    <mergeCell ref="D5:D8"/>
    <mergeCell ref="E5:E8"/>
    <mergeCell ref="F5:F8"/>
    <mergeCell ref="G5:G8"/>
    <mergeCell ref="H5:H8"/>
    <mergeCell ref="I5:I8"/>
    <mergeCell ref="J5:J8"/>
    <mergeCell ref="B42:B52"/>
    <mergeCell ref="B53:B63"/>
    <mergeCell ref="B64:B74"/>
    <mergeCell ref="B75:B85"/>
    <mergeCell ref="A1:C8"/>
    <mergeCell ref="A9:A85"/>
    <mergeCell ref="B9:B19"/>
    <mergeCell ref="B20:B30"/>
    <mergeCell ref="B31:B41"/>
  </mergeCells>
  <conditionalFormatting sqref="K1">
    <cfRule type="cellIs" dxfId="47" priority="1" operator="equal">
      <formula>"The total amount for which you have budgeted does not match the unconsolidated portion of the LEA's Title II, Part A allocation."</formula>
    </cfRule>
  </conditionalFormatting>
  <pageMargins left="0.75" right="0.75" top="1" bottom="1" header="0.5" footer="0.5"/>
  <pageSetup scale="57" orientation="portrait" r:id="rId1"/>
  <headerFooter alignWithMargins="0">
    <oddHeader>&amp;LFFY 2012 Consolidated Application&amp;C&amp;A&amp;R&amp;P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D76"/>
  <sheetViews>
    <sheetView topLeftCell="A39" zoomScale="90" zoomScaleNormal="90" workbookViewId="0">
      <selection activeCell="P9" sqref="P9"/>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786" t="s">
        <v>570</v>
      </c>
      <c r="B1" s="787"/>
      <c r="C1" s="787"/>
      <c r="D1" s="787"/>
      <c r="E1" s="787"/>
      <c r="F1" s="787"/>
      <c r="G1" s="787"/>
      <c r="H1" s="787"/>
      <c r="I1" s="787"/>
      <c r="J1" s="788"/>
    </row>
    <row r="2" spans="1:10" ht="12.75" customHeight="1" x14ac:dyDescent="0.2">
      <c r="A2" s="789"/>
      <c r="B2" s="790"/>
      <c r="C2" s="790"/>
      <c r="D2" s="790"/>
      <c r="E2" s="790"/>
      <c r="F2" s="790"/>
      <c r="G2" s="790"/>
      <c r="H2" s="790"/>
      <c r="I2" s="790"/>
      <c r="J2" s="791"/>
    </row>
    <row r="3" spans="1:10" ht="12.75" customHeight="1" x14ac:dyDescent="0.2">
      <c r="A3" s="543" t="s">
        <v>374</v>
      </c>
      <c r="B3" s="544"/>
      <c r="C3" s="544"/>
      <c r="D3" s="544"/>
      <c r="E3" s="544"/>
      <c r="F3" s="544"/>
      <c r="G3" s="544"/>
      <c r="H3" s="544"/>
      <c r="I3" s="544"/>
      <c r="J3" s="545"/>
    </row>
    <row r="4" spans="1:10" ht="12.75" customHeight="1" x14ac:dyDescent="0.2">
      <c r="A4" s="573"/>
      <c r="B4" s="574"/>
      <c r="C4" s="574"/>
      <c r="D4" s="574"/>
      <c r="E4" s="574"/>
      <c r="F4" s="574"/>
      <c r="G4" s="574"/>
      <c r="H4" s="574"/>
      <c r="I4" s="574"/>
      <c r="J4" s="575"/>
    </row>
    <row r="5" spans="1:10" ht="12.75" customHeight="1" x14ac:dyDescent="0.2">
      <c r="A5" s="546"/>
      <c r="B5" s="547"/>
      <c r="C5" s="547"/>
      <c r="D5" s="547"/>
      <c r="E5" s="547"/>
      <c r="F5" s="547"/>
      <c r="G5" s="547"/>
      <c r="H5" s="547"/>
      <c r="I5" s="547"/>
      <c r="J5" s="548"/>
    </row>
    <row r="6" spans="1:10" ht="12.75" customHeight="1" x14ac:dyDescent="0.2">
      <c r="A6" s="543" t="s">
        <v>275</v>
      </c>
      <c r="B6" s="544"/>
      <c r="C6" s="544"/>
      <c r="D6" s="544"/>
      <c r="E6" s="544"/>
      <c r="F6" s="544"/>
      <c r="G6" s="544"/>
      <c r="H6" s="544"/>
      <c r="I6" s="544"/>
      <c r="J6" s="545"/>
    </row>
    <row r="7" spans="1:10" ht="12.75" customHeight="1" x14ac:dyDescent="0.2">
      <c r="A7" s="546"/>
      <c r="B7" s="547"/>
      <c r="C7" s="547"/>
      <c r="D7" s="547"/>
      <c r="E7" s="547"/>
      <c r="F7" s="547"/>
      <c r="G7" s="547"/>
      <c r="H7" s="547"/>
      <c r="I7" s="547"/>
      <c r="J7" s="548"/>
    </row>
    <row r="8" spans="1:10" s="61" customFormat="1" x14ac:dyDescent="0.2">
      <c r="A8" s="55"/>
      <c r="B8" s="56"/>
      <c r="C8" s="57"/>
      <c r="D8" s="58"/>
      <c r="E8" s="58"/>
      <c r="F8" s="58"/>
      <c r="G8" s="58"/>
      <c r="H8" s="59"/>
      <c r="I8" s="57"/>
      <c r="J8" s="60"/>
    </row>
    <row r="9" spans="1:10" ht="13.5" thickBot="1" x14ac:dyDescent="0.25">
      <c r="A9" s="88"/>
      <c r="B9" s="72"/>
      <c r="C9" s="72"/>
      <c r="D9" s="72"/>
      <c r="E9" s="72"/>
      <c r="F9" s="72"/>
      <c r="G9" s="72"/>
      <c r="H9" s="72"/>
      <c r="I9" s="72"/>
      <c r="J9" s="86"/>
    </row>
    <row r="10" spans="1:10" ht="13.5" customHeight="1" thickBot="1" x14ac:dyDescent="0.25">
      <c r="A10" s="90"/>
      <c r="B10" s="74"/>
      <c r="C10" s="75"/>
      <c r="D10" s="582" t="s">
        <v>363</v>
      </c>
      <c r="E10" s="582"/>
      <c r="F10" s="582"/>
      <c r="G10" s="582"/>
      <c r="H10" s="582"/>
      <c r="I10" s="582"/>
      <c r="J10" s="91"/>
    </row>
    <row r="11" spans="1:10" x14ac:dyDescent="0.2">
      <c r="A11" s="90"/>
      <c r="B11" s="76"/>
      <c r="C11" s="75"/>
      <c r="D11" s="582"/>
      <c r="E11" s="582"/>
      <c r="F11" s="582"/>
      <c r="G11" s="582"/>
      <c r="H11" s="582"/>
      <c r="I11" s="582"/>
      <c r="J11" s="87"/>
    </row>
    <row r="12" spans="1:10" ht="13.5" thickBot="1" x14ac:dyDescent="0.25">
      <c r="A12" s="90"/>
      <c r="B12" s="76"/>
      <c r="C12" s="75"/>
      <c r="D12" s="84"/>
      <c r="E12" s="84"/>
      <c r="F12" s="84"/>
      <c r="G12" s="84"/>
      <c r="H12" s="84"/>
      <c r="I12" s="84"/>
      <c r="J12" s="87"/>
    </row>
    <row r="13" spans="1:10" ht="12.75" customHeight="1" thickBot="1" x14ac:dyDescent="0.25">
      <c r="A13" s="90"/>
      <c r="B13" s="74"/>
      <c r="C13" s="75"/>
      <c r="D13" s="582" t="s">
        <v>276</v>
      </c>
      <c r="E13" s="582"/>
      <c r="F13" s="582"/>
      <c r="G13" s="582"/>
      <c r="H13" s="582"/>
      <c r="I13" s="582"/>
      <c r="J13" s="91"/>
    </row>
    <row r="14" spans="1:10" x14ac:dyDescent="0.2">
      <c r="A14" s="90"/>
      <c r="B14" s="77"/>
      <c r="C14" s="75"/>
      <c r="D14" s="582"/>
      <c r="E14" s="582"/>
      <c r="F14" s="582"/>
      <c r="G14" s="582"/>
      <c r="H14" s="582"/>
      <c r="I14" s="582"/>
      <c r="J14" s="91"/>
    </row>
    <row r="15" spans="1:10" x14ac:dyDescent="0.2">
      <c r="A15" s="90"/>
      <c r="B15" s="77"/>
      <c r="C15" s="75"/>
      <c r="D15" s="84"/>
      <c r="E15" s="84"/>
      <c r="F15" s="84"/>
      <c r="G15" s="84"/>
      <c r="H15" s="84"/>
      <c r="I15" s="84"/>
      <c r="J15" s="91"/>
    </row>
    <row r="16" spans="1:10" s="61" customFormat="1" x14ac:dyDescent="0.2">
      <c r="A16" s="55"/>
      <c r="B16" s="56"/>
      <c r="C16" s="57"/>
      <c r="D16" s="58"/>
      <c r="E16" s="58"/>
      <c r="F16" s="58"/>
      <c r="G16" s="58"/>
      <c r="H16" s="59"/>
      <c r="I16" s="57"/>
      <c r="J16" s="60"/>
    </row>
    <row r="17" spans="1:10" s="61" customFormat="1" ht="25.5" customHeight="1" x14ac:dyDescent="0.2">
      <c r="A17" s="602" t="s">
        <v>277</v>
      </c>
      <c r="B17" s="603"/>
      <c r="C17" s="603"/>
      <c r="D17" s="603"/>
      <c r="E17" s="603"/>
      <c r="F17" s="603"/>
      <c r="G17" s="603"/>
      <c r="H17" s="603"/>
      <c r="I17" s="603"/>
      <c r="J17" s="604"/>
    </row>
    <row r="18" spans="1:10" ht="12.75" customHeight="1" x14ac:dyDescent="0.2">
      <c r="A18" s="593" t="s">
        <v>279</v>
      </c>
      <c r="B18" s="594"/>
      <c r="C18" s="594"/>
      <c r="D18" s="594"/>
      <c r="E18" s="594"/>
      <c r="F18" s="594"/>
      <c r="G18" s="594"/>
      <c r="H18" s="594"/>
      <c r="I18" s="594"/>
      <c r="J18" s="595"/>
    </row>
    <row r="19" spans="1:10" ht="12.75" customHeight="1" x14ac:dyDescent="0.2">
      <c r="A19" s="596"/>
      <c r="B19" s="597"/>
      <c r="C19" s="597"/>
      <c r="D19" s="597"/>
      <c r="E19" s="597"/>
      <c r="F19" s="597"/>
      <c r="G19" s="597"/>
      <c r="H19" s="597"/>
      <c r="I19" s="597"/>
      <c r="J19" s="598"/>
    </row>
    <row r="20" spans="1:10" ht="12.75" customHeight="1" x14ac:dyDescent="0.2">
      <c r="A20" s="596"/>
      <c r="B20" s="597"/>
      <c r="C20" s="597"/>
      <c r="D20" s="597"/>
      <c r="E20" s="597"/>
      <c r="F20" s="597"/>
      <c r="G20" s="597"/>
      <c r="H20" s="597"/>
      <c r="I20" s="597"/>
      <c r="J20" s="598"/>
    </row>
    <row r="21" spans="1:10" ht="15" customHeight="1" x14ac:dyDescent="0.2">
      <c r="A21" s="599"/>
      <c r="B21" s="600"/>
      <c r="C21" s="600"/>
      <c r="D21" s="600"/>
      <c r="E21" s="600"/>
      <c r="F21" s="600"/>
      <c r="G21" s="600"/>
      <c r="H21" s="600"/>
      <c r="I21" s="600"/>
      <c r="J21" s="601"/>
    </row>
    <row r="22" spans="1:10" ht="12.75" customHeight="1" x14ac:dyDescent="0.2">
      <c r="A22" s="610"/>
      <c r="B22" s="611"/>
      <c r="C22" s="611"/>
      <c r="D22" s="611"/>
      <c r="E22" s="611"/>
      <c r="F22" s="611"/>
      <c r="G22" s="611"/>
      <c r="H22" s="611"/>
      <c r="I22" s="611"/>
      <c r="J22" s="612"/>
    </row>
    <row r="23" spans="1:10" ht="12.75" customHeight="1" x14ac:dyDescent="0.2">
      <c r="A23" s="610"/>
      <c r="B23" s="611"/>
      <c r="C23" s="611"/>
      <c r="D23" s="611"/>
      <c r="E23" s="611"/>
      <c r="F23" s="611"/>
      <c r="G23" s="611"/>
      <c r="H23" s="611"/>
      <c r="I23" s="611"/>
      <c r="J23" s="612"/>
    </row>
    <row r="24" spans="1:10" ht="12.75" customHeight="1" x14ac:dyDescent="0.2">
      <c r="A24" s="610"/>
      <c r="B24" s="611"/>
      <c r="C24" s="611"/>
      <c r="D24" s="611"/>
      <c r="E24" s="611"/>
      <c r="F24" s="611"/>
      <c r="G24" s="611"/>
      <c r="H24" s="611"/>
      <c r="I24" s="611"/>
      <c r="J24" s="612"/>
    </row>
    <row r="25" spans="1:10" ht="12.75" customHeight="1" x14ac:dyDescent="0.2">
      <c r="A25" s="610"/>
      <c r="B25" s="611"/>
      <c r="C25" s="611"/>
      <c r="D25" s="611"/>
      <c r="E25" s="611"/>
      <c r="F25" s="611"/>
      <c r="G25" s="611"/>
      <c r="H25" s="611"/>
      <c r="I25" s="611"/>
      <c r="J25" s="612"/>
    </row>
    <row r="26" spans="1:10" ht="12.75" customHeight="1" x14ac:dyDescent="0.2">
      <c r="A26" s="610"/>
      <c r="B26" s="611"/>
      <c r="C26" s="611"/>
      <c r="D26" s="611"/>
      <c r="E26" s="611"/>
      <c r="F26" s="611"/>
      <c r="G26" s="611"/>
      <c r="H26" s="611"/>
      <c r="I26" s="611"/>
      <c r="J26" s="612"/>
    </row>
    <row r="27" spans="1:10" ht="12.75" customHeight="1" x14ac:dyDescent="0.2">
      <c r="A27" s="610"/>
      <c r="B27" s="611"/>
      <c r="C27" s="611"/>
      <c r="D27" s="611"/>
      <c r="E27" s="611"/>
      <c r="F27" s="611"/>
      <c r="G27" s="611"/>
      <c r="H27" s="611"/>
      <c r="I27" s="611"/>
      <c r="J27" s="612"/>
    </row>
    <row r="28" spans="1:10" ht="12.75" customHeight="1" x14ac:dyDescent="0.2">
      <c r="A28" s="610"/>
      <c r="B28" s="611"/>
      <c r="C28" s="611"/>
      <c r="D28" s="611"/>
      <c r="E28" s="611"/>
      <c r="F28" s="611"/>
      <c r="G28" s="611"/>
      <c r="H28" s="611"/>
      <c r="I28" s="611"/>
      <c r="J28" s="612"/>
    </row>
    <row r="29" spans="1:10" ht="12.75" customHeight="1" x14ac:dyDescent="0.2">
      <c r="A29" s="610"/>
      <c r="B29" s="611"/>
      <c r="C29" s="611"/>
      <c r="D29" s="611"/>
      <c r="E29" s="611"/>
      <c r="F29" s="611"/>
      <c r="G29" s="611"/>
      <c r="H29" s="611"/>
      <c r="I29" s="611"/>
      <c r="J29" s="612"/>
    </row>
    <row r="30" spans="1:10" ht="12.75" customHeight="1" x14ac:dyDescent="0.2">
      <c r="A30" s="610"/>
      <c r="B30" s="611"/>
      <c r="C30" s="611"/>
      <c r="D30" s="611"/>
      <c r="E30" s="611"/>
      <c r="F30" s="611"/>
      <c r="G30" s="611"/>
      <c r="H30" s="611"/>
      <c r="I30" s="611"/>
      <c r="J30" s="612"/>
    </row>
    <row r="31" spans="1:10" ht="12.75" customHeight="1" x14ac:dyDescent="0.2">
      <c r="A31" s="610"/>
      <c r="B31" s="611"/>
      <c r="C31" s="611"/>
      <c r="D31" s="611"/>
      <c r="E31" s="611"/>
      <c r="F31" s="611"/>
      <c r="G31" s="611"/>
      <c r="H31" s="611"/>
      <c r="I31" s="611"/>
      <c r="J31" s="612"/>
    </row>
    <row r="32" spans="1:10" ht="12.75" customHeight="1" x14ac:dyDescent="0.2">
      <c r="A32" s="610"/>
      <c r="B32" s="611"/>
      <c r="C32" s="611"/>
      <c r="D32" s="611"/>
      <c r="E32" s="611"/>
      <c r="F32" s="611"/>
      <c r="G32" s="611"/>
      <c r="H32" s="611"/>
      <c r="I32" s="611"/>
      <c r="J32" s="612"/>
    </row>
    <row r="33" spans="1:10" ht="12.75" customHeight="1" x14ac:dyDescent="0.2">
      <c r="A33" s="610"/>
      <c r="B33" s="611"/>
      <c r="C33" s="611"/>
      <c r="D33" s="611"/>
      <c r="E33" s="611"/>
      <c r="F33" s="611"/>
      <c r="G33" s="611"/>
      <c r="H33" s="611"/>
      <c r="I33" s="611"/>
      <c r="J33" s="612"/>
    </row>
    <row r="34" spans="1:10" ht="12.75" customHeight="1" x14ac:dyDescent="0.2">
      <c r="A34" s="610"/>
      <c r="B34" s="611"/>
      <c r="C34" s="611"/>
      <c r="D34" s="611"/>
      <c r="E34" s="611"/>
      <c r="F34" s="611"/>
      <c r="G34" s="611"/>
      <c r="H34" s="611"/>
      <c r="I34" s="611"/>
      <c r="J34" s="612"/>
    </row>
    <row r="35" spans="1:10" ht="12.75" customHeight="1" x14ac:dyDescent="0.2">
      <c r="A35" s="610"/>
      <c r="B35" s="611"/>
      <c r="C35" s="611"/>
      <c r="D35" s="611"/>
      <c r="E35" s="611"/>
      <c r="F35" s="611"/>
      <c r="G35" s="611"/>
      <c r="H35" s="611"/>
      <c r="I35" s="611"/>
      <c r="J35" s="612"/>
    </row>
    <row r="36" spans="1:10" ht="12.75" customHeight="1" x14ac:dyDescent="0.2">
      <c r="A36" s="610"/>
      <c r="B36" s="611"/>
      <c r="C36" s="611"/>
      <c r="D36" s="611"/>
      <c r="E36" s="611"/>
      <c r="F36" s="611"/>
      <c r="G36" s="611"/>
      <c r="H36" s="611"/>
      <c r="I36" s="611"/>
      <c r="J36" s="612"/>
    </row>
    <row r="37" spans="1:10" ht="12.75" customHeight="1" x14ac:dyDescent="0.2">
      <c r="A37" s="610"/>
      <c r="B37" s="611"/>
      <c r="C37" s="611"/>
      <c r="D37" s="611"/>
      <c r="E37" s="611"/>
      <c r="F37" s="611"/>
      <c r="G37" s="611"/>
      <c r="H37" s="611"/>
      <c r="I37" s="611"/>
      <c r="J37" s="612"/>
    </row>
    <row r="38" spans="1:10" ht="12.75" customHeight="1" x14ac:dyDescent="0.2">
      <c r="A38" s="610"/>
      <c r="B38" s="611"/>
      <c r="C38" s="611"/>
      <c r="D38" s="611"/>
      <c r="E38" s="611"/>
      <c r="F38" s="611"/>
      <c r="G38" s="611"/>
      <c r="H38" s="611"/>
      <c r="I38" s="611"/>
      <c r="J38" s="612"/>
    </row>
    <row r="39" spans="1:10" ht="12.75" customHeight="1" x14ac:dyDescent="0.2">
      <c r="A39" s="610"/>
      <c r="B39" s="611"/>
      <c r="C39" s="611"/>
      <c r="D39" s="611"/>
      <c r="E39" s="611"/>
      <c r="F39" s="611"/>
      <c r="G39" s="611"/>
      <c r="H39" s="611"/>
      <c r="I39" s="611"/>
      <c r="J39" s="612"/>
    </row>
    <row r="40" spans="1:10" ht="12.75" customHeight="1" x14ac:dyDescent="0.2">
      <c r="A40" s="610"/>
      <c r="B40" s="611"/>
      <c r="C40" s="611"/>
      <c r="D40" s="611"/>
      <c r="E40" s="611"/>
      <c r="F40" s="611"/>
      <c r="G40" s="611"/>
      <c r="H40" s="611"/>
      <c r="I40" s="611"/>
      <c r="J40" s="612"/>
    </row>
    <row r="41" spans="1:10" ht="12.75" customHeight="1" x14ac:dyDescent="0.2">
      <c r="A41" s="610"/>
      <c r="B41" s="611"/>
      <c r="C41" s="611"/>
      <c r="D41" s="611"/>
      <c r="E41" s="611"/>
      <c r="F41" s="611"/>
      <c r="G41" s="611"/>
      <c r="H41" s="611"/>
      <c r="I41" s="611"/>
      <c r="J41" s="612"/>
    </row>
    <row r="42" spans="1:10" s="61" customFormat="1" ht="25.5" customHeight="1" x14ac:dyDescent="0.2">
      <c r="A42" s="602" t="s">
        <v>278</v>
      </c>
      <c r="B42" s="603"/>
      <c r="C42" s="603"/>
      <c r="D42" s="603"/>
      <c r="E42" s="603"/>
      <c r="F42" s="603"/>
      <c r="G42" s="603"/>
      <c r="H42" s="603"/>
      <c r="I42" s="603"/>
      <c r="J42" s="604"/>
    </row>
    <row r="43" spans="1:10" ht="12.75" customHeight="1" x14ac:dyDescent="0.2">
      <c r="A43" s="593" t="s">
        <v>280</v>
      </c>
      <c r="B43" s="594"/>
      <c r="C43" s="594"/>
      <c r="D43" s="594"/>
      <c r="E43" s="594"/>
      <c r="F43" s="594"/>
      <c r="G43" s="594"/>
      <c r="H43" s="594"/>
      <c r="I43" s="594"/>
      <c r="J43" s="595"/>
    </row>
    <row r="44" spans="1:10" ht="12.75" customHeight="1" x14ac:dyDescent="0.2">
      <c r="A44" s="596"/>
      <c r="B44" s="597"/>
      <c r="C44" s="597"/>
      <c r="D44" s="597"/>
      <c r="E44" s="597"/>
      <c r="F44" s="597"/>
      <c r="G44" s="597"/>
      <c r="H44" s="597"/>
      <c r="I44" s="597"/>
      <c r="J44" s="598"/>
    </row>
    <row r="45" spans="1:10" ht="12.75" customHeight="1" x14ac:dyDescent="0.2">
      <c r="A45" s="596"/>
      <c r="B45" s="597"/>
      <c r="C45" s="597"/>
      <c r="D45" s="597"/>
      <c r="E45" s="597"/>
      <c r="F45" s="597"/>
      <c r="G45" s="597"/>
      <c r="H45" s="597"/>
      <c r="I45" s="597"/>
      <c r="J45" s="598"/>
    </row>
    <row r="46" spans="1:10" ht="15" customHeight="1" x14ac:dyDescent="0.2">
      <c r="A46" s="599"/>
      <c r="B46" s="600"/>
      <c r="C46" s="600"/>
      <c r="D46" s="600"/>
      <c r="E46" s="600"/>
      <c r="F46" s="600"/>
      <c r="G46" s="600"/>
      <c r="H46" s="600"/>
      <c r="I46" s="600"/>
      <c r="J46" s="601"/>
    </row>
    <row r="47" spans="1:10" ht="12.75" customHeight="1" x14ac:dyDescent="0.2">
      <c r="A47" s="610"/>
      <c r="B47" s="611"/>
      <c r="C47" s="611"/>
      <c r="D47" s="611"/>
      <c r="E47" s="611"/>
      <c r="F47" s="611"/>
      <c r="G47" s="611"/>
      <c r="H47" s="611"/>
      <c r="I47" s="611"/>
      <c r="J47" s="612"/>
    </row>
    <row r="48" spans="1:10" ht="12.75" customHeight="1" x14ac:dyDescent="0.2">
      <c r="A48" s="610"/>
      <c r="B48" s="611"/>
      <c r="C48" s="611"/>
      <c r="D48" s="611"/>
      <c r="E48" s="611"/>
      <c r="F48" s="611"/>
      <c r="G48" s="611"/>
      <c r="H48" s="611"/>
      <c r="I48" s="611"/>
      <c r="J48" s="612"/>
    </row>
    <row r="49" spans="1:10" ht="12.75" customHeight="1" x14ac:dyDescent="0.2">
      <c r="A49" s="610"/>
      <c r="B49" s="611"/>
      <c r="C49" s="611"/>
      <c r="D49" s="611"/>
      <c r="E49" s="611"/>
      <c r="F49" s="611"/>
      <c r="G49" s="611"/>
      <c r="H49" s="611"/>
      <c r="I49" s="611"/>
      <c r="J49" s="612"/>
    </row>
    <row r="50" spans="1:10" ht="12.75" customHeight="1" x14ac:dyDescent="0.2">
      <c r="A50" s="610"/>
      <c r="B50" s="611"/>
      <c r="C50" s="611"/>
      <c r="D50" s="611"/>
      <c r="E50" s="611"/>
      <c r="F50" s="611"/>
      <c r="G50" s="611"/>
      <c r="H50" s="611"/>
      <c r="I50" s="611"/>
      <c r="J50" s="612"/>
    </row>
    <row r="51" spans="1:10" ht="12.75" customHeight="1" x14ac:dyDescent="0.2">
      <c r="A51" s="610"/>
      <c r="B51" s="611"/>
      <c r="C51" s="611"/>
      <c r="D51" s="611"/>
      <c r="E51" s="611"/>
      <c r="F51" s="611"/>
      <c r="G51" s="611"/>
      <c r="H51" s="611"/>
      <c r="I51" s="611"/>
      <c r="J51" s="612"/>
    </row>
    <row r="52" spans="1:10" ht="12.75" customHeight="1" x14ac:dyDescent="0.2">
      <c r="A52" s="610"/>
      <c r="B52" s="611"/>
      <c r="C52" s="611"/>
      <c r="D52" s="611"/>
      <c r="E52" s="611"/>
      <c r="F52" s="611"/>
      <c r="G52" s="611"/>
      <c r="H52" s="611"/>
      <c r="I52" s="611"/>
      <c r="J52" s="612"/>
    </row>
    <row r="53" spans="1:10" ht="12.75" customHeight="1" x14ac:dyDescent="0.2">
      <c r="A53" s="610"/>
      <c r="B53" s="611"/>
      <c r="C53" s="611"/>
      <c r="D53" s="611"/>
      <c r="E53" s="611"/>
      <c r="F53" s="611"/>
      <c r="G53" s="611"/>
      <c r="H53" s="611"/>
      <c r="I53" s="611"/>
      <c r="J53" s="612"/>
    </row>
    <row r="54" spans="1:10" ht="12.75" customHeight="1" x14ac:dyDescent="0.2">
      <c r="A54" s="610"/>
      <c r="B54" s="611"/>
      <c r="C54" s="611"/>
      <c r="D54" s="611"/>
      <c r="E54" s="611"/>
      <c r="F54" s="611"/>
      <c r="G54" s="611"/>
      <c r="H54" s="611"/>
      <c r="I54" s="611"/>
      <c r="J54" s="612"/>
    </row>
    <row r="55" spans="1:10" ht="12.75" customHeight="1" x14ac:dyDescent="0.2">
      <c r="A55" s="610"/>
      <c r="B55" s="611"/>
      <c r="C55" s="611"/>
      <c r="D55" s="611"/>
      <c r="E55" s="611"/>
      <c r="F55" s="611"/>
      <c r="G55" s="611"/>
      <c r="H55" s="611"/>
      <c r="I55" s="611"/>
      <c r="J55" s="612"/>
    </row>
    <row r="56" spans="1:10" ht="12.75" customHeight="1" x14ac:dyDescent="0.2">
      <c r="A56" s="610"/>
      <c r="B56" s="611"/>
      <c r="C56" s="611"/>
      <c r="D56" s="611"/>
      <c r="E56" s="611"/>
      <c r="F56" s="611"/>
      <c r="G56" s="611"/>
      <c r="H56" s="611"/>
      <c r="I56" s="611"/>
      <c r="J56" s="612"/>
    </row>
    <row r="57" spans="1:10" ht="12.75" customHeight="1" x14ac:dyDescent="0.2">
      <c r="A57" s="610"/>
      <c r="B57" s="611"/>
      <c r="C57" s="611"/>
      <c r="D57" s="611"/>
      <c r="E57" s="611"/>
      <c r="F57" s="611"/>
      <c r="G57" s="611"/>
      <c r="H57" s="611"/>
      <c r="I57" s="611"/>
      <c r="J57" s="612"/>
    </row>
    <row r="58" spans="1:10" ht="12.75" customHeight="1" x14ac:dyDescent="0.2">
      <c r="A58" s="610"/>
      <c r="B58" s="611"/>
      <c r="C58" s="611"/>
      <c r="D58" s="611"/>
      <c r="E58" s="611"/>
      <c r="F58" s="611"/>
      <c r="G58" s="611"/>
      <c r="H58" s="611"/>
      <c r="I58" s="611"/>
      <c r="J58" s="612"/>
    </row>
    <row r="59" spans="1:10" ht="12.75" customHeight="1" x14ac:dyDescent="0.2">
      <c r="A59" s="610"/>
      <c r="B59" s="611"/>
      <c r="C59" s="611"/>
      <c r="D59" s="611"/>
      <c r="E59" s="611"/>
      <c r="F59" s="611"/>
      <c r="G59" s="611"/>
      <c r="H59" s="611"/>
      <c r="I59" s="611"/>
      <c r="J59" s="612"/>
    </row>
    <row r="60" spans="1:10" ht="12.75" customHeight="1" x14ac:dyDescent="0.2">
      <c r="A60" s="610"/>
      <c r="B60" s="611"/>
      <c r="C60" s="611"/>
      <c r="D60" s="611"/>
      <c r="E60" s="611"/>
      <c r="F60" s="611"/>
      <c r="G60" s="611"/>
      <c r="H60" s="611"/>
      <c r="I60" s="611"/>
      <c r="J60" s="612"/>
    </row>
    <row r="61" spans="1:10" ht="12.75" customHeight="1" x14ac:dyDescent="0.2">
      <c r="A61" s="610"/>
      <c r="B61" s="611"/>
      <c r="C61" s="611"/>
      <c r="D61" s="611"/>
      <c r="E61" s="611"/>
      <c r="F61" s="611"/>
      <c r="G61" s="611"/>
      <c r="H61" s="611"/>
      <c r="I61" s="611"/>
      <c r="J61" s="612"/>
    </row>
    <row r="62" spans="1:10" ht="12.75" customHeight="1" x14ac:dyDescent="0.2">
      <c r="A62" s="610"/>
      <c r="B62" s="611"/>
      <c r="C62" s="611"/>
      <c r="D62" s="611"/>
      <c r="E62" s="611"/>
      <c r="F62" s="611"/>
      <c r="G62" s="611"/>
      <c r="H62" s="611"/>
      <c r="I62" s="611"/>
      <c r="J62" s="612"/>
    </row>
    <row r="63" spans="1:10" ht="12.75" customHeight="1" x14ac:dyDescent="0.2">
      <c r="A63" s="610"/>
      <c r="B63" s="611"/>
      <c r="C63" s="611"/>
      <c r="D63" s="611"/>
      <c r="E63" s="611"/>
      <c r="F63" s="611"/>
      <c r="G63" s="611"/>
      <c r="H63" s="611"/>
      <c r="I63" s="611"/>
      <c r="J63" s="612"/>
    </row>
    <row r="64" spans="1:10" ht="12.75" customHeight="1" x14ac:dyDescent="0.2">
      <c r="A64" s="610"/>
      <c r="B64" s="611"/>
      <c r="C64" s="611"/>
      <c r="D64" s="611"/>
      <c r="E64" s="611"/>
      <c r="F64" s="611"/>
      <c r="G64" s="611"/>
      <c r="H64" s="611"/>
      <c r="I64" s="611"/>
      <c r="J64" s="612"/>
    </row>
    <row r="65" spans="1:30" ht="12.75" customHeight="1" x14ac:dyDescent="0.2">
      <c r="A65" s="610"/>
      <c r="B65" s="611"/>
      <c r="C65" s="611"/>
      <c r="D65" s="611"/>
      <c r="E65" s="611"/>
      <c r="F65" s="611"/>
      <c r="G65" s="611"/>
      <c r="H65" s="611"/>
      <c r="I65" s="611"/>
      <c r="J65" s="612"/>
    </row>
    <row r="66" spans="1:30" ht="12.75" customHeight="1" x14ac:dyDescent="0.2">
      <c r="A66" s="610"/>
      <c r="B66" s="611"/>
      <c r="C66" s="611"/>
      <c r="D66" s="611"/>
      <c r="E66" s="611"/>
      <c r="F66" s="611"/>
      <c r="G66" s="611"/>
      <c r="H66" s="611"/>
      <c r="I66" s="611"/>
      <c r="J66" s="612"/>
    </row>
    <row r="67" spans="1:30" ht="12.75" customHeight="1" x14ac:dyDescent="0.2">
      <c r="A67" s="610"/>
      <c r="B67" s="611"/>
      <c r="C67" s="611"/>
      <c r="D67" s="611"/>
      <c r="E67" s="611"/>
      <c r="F67" s="611"/>
      <c r="G67" s="611"/>
      <c r="H67" s="611"/>
      <c r="I67" s="611"/>
      <c r="J67" s="612"/>
    </row>
    <row r="68" spans="1:30" ht="12.75" customHeight="1" thickBot="1" x14ac:dyDescent="0.25">
      <c r="A68" s="616"/>
      <c r="B68" s="617"/>
      <c r="C68" s="617"/>
      <c r="D68" s="617"/>
      <c r="E68" s="617"/>
      <c r="F68" s="617"/>
      <c r="G68" s="617"/>
      <c r="H68" s="617"/>
      <c r="I68" s="617"/>
      <c r="J68" s="618"/>
    </row>
    <row r="69" spans="1:30" ht="12.75" customHeight="1" thickTop="1" x14ac:dyDescent="0.2"/>
    <row r="72" spans="1:30" ht="12.75" customHeight="1" x14ac:dyDescent="0.2">
      <c r="B72" s="785"/>
      <c r="C72" s="785"/>
      <c r="D72" s="785"/>
      <c r="E72" s="785"/>
      <c r="F72" s="785"/>
      <c r="G72" s="785"/>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row>
    <row r="73" spans="1:30" ht="12.75" customHeight="1" x14ac:dyDescent="0.2">
      <c r="B73" s="785"/>
      <c r="C73" s="785"/>
      <c r="D73" s="785"/>
      <c r="E73" s="785"/>
      <c r="F73" s="785"/>
      <c r="G73" s="785"/>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row>
    <row r="74" spans="1:30" ht="12.75" customHeight="1" x14ac:dyDescent="0.2">
      <c r="B74" s="770"/>
      <c r="C74" s="770"/>
      <c r="D74" s="770"/>
      <c r="E74" s="770"/>
      <c r="F74" s="770"/>
      <c r="G74" s="770"/>
      <c r="H74" s="96"/>
      <c r="I74" s="96"/>
      <c r="J74" s="96"/>
      <c r="K74" s="96"/>
      <c r="L74" s="96"/>
      <c r="M74" s="96"/>
      <c r="N74" s="96"/>
      <c r="O74" s="96"/>
      <c r="P74" s="96"/>
      <c r="Q74" s="96"/>
      <c r="R74" s="96"/>
      <c r="S74" s="96"/>
      <c r="T74" s="96"/>
      <c r="U74" s="96"/>
      <c r="V74" s="96"/>
      <c r="W74" s="96"/>
      <c r="X74" s="96"/>
      <c r="Y74" s="96"/>
      <c r="Z74" s="96"/>
      <c r="AA74" s="96"/>
      <c r="AB74" s="96"/>
      <c r="AC74" s="96"/>
      <c r="AD74" s="96"/>
    </row>
    <row r="75" spans="1:30" ht="12.75" customHeight="1" x14ac:dyDescent="0.2">
      <c r="B75" s="770"/>
      <c r="C75" s="770"/>
      <c r="D75" s="770"/>
      <c r="E75" s="770"/>
      <c r="F75" s="770"/>
      <c r="G75" s="770"/>
      <c r="H75" s="96"/>
      <c r="I75" s="96"/>
      <c r="J75" s="96"/>
      <c r="K75" s="96"/>
      <c r="L75" s="96"/>
      <c r="M75" s="96"/>
      <c r="N75" s="96"/>
      <c r="O75" s="96"/>
      <c r="P75" s="96"/>
      <c r="Q75" s="96"/>
      <c r="R75" s="96"/>
      <c r="S75" s="96"/>
      <c r="T75" s="96"/>
      <c r="U75" s="96"/>
      <c r="V75" s="96"/>
      <c r="W75" s="96"/>
      <c r="X75" s="96"/>
      <c r="Y75" s="96"/>
      <c r="Z75" s="96"/>
      <c r="AA75" s="96"/>
      <c r="AB75" s="96"/>
      <c r="AC75" s="96"/>
      <c r="AD75" s="96"/>
    </row>
    <row r="76" spans="1:30" ht="12.75" customHeight="1" x14ac:dyDescent="0.2">
      <c r="B76" s="770"/>
      <c r="C76" s="770"/>
      <c r="D76" s="770"/>
      <c r="E76" s="770"/>
      <c r="F76" s="770"/>
      <c r="G76" s="770"/>
    </row>
  </sheetData>
  <sheetProtection password="E686" sheet="1" objects="1" scenarios="1" formatRows="0"/>
  <mergeCells count="14">
    <mergeCell ref="A22:J41"/>
    <mergeCell ref="A18:J21"/>
    <mergeCell ref="A1:J2"/>
    <mergeCell ref="A3:J5"/>
    <mergeCell ref="A6:J7"/>
    <mergeCell ref="D10:I11"/>
    <mergeCell ref="D13:I14"/>
    <mergeCell ref="A17:J17"/>
    <mergeCell ref="B74:G76"/>
    <mergeCell ref="A43:J46"/>
    <mergeCell ref="A47:J68"/>
    <mergeCell ref="A42:J42"/>
    <mergeCell ref="B72:G72"/>
    <mergeCell ref="B73:G73"/>
  </mergeCells>
  <dataValidations disablePrompts="1" count="4">
    <dataValidation type="textLength" operator="lessThan" allowBlank="1" showInputMessage="1" showErrorMessage="1" errorTitle="Too Much Text" error="Provide a brief description using no more than 100 characters here.  A more full description should be included within the narrative (tab 9)." sqref="G47:J68 G22:J41">
      <formula1>101</formula1>
    </dataValidation>
    <dataValidation allowBlank="1" showInputMessage="1" showErrorMessage="1" promptTitle="Total Amount" prompt="Input the total amount of these funds being used to fund this individual's salary and benefits." sqref="F47:F68 F22:F41"/>
    <dataValidation type="list" allowBlank="1" showInputMessage="1" showErrorMessage="1" sqref="E47:E68 E22:E41">
      <formula1>program</formula1>
    </dataValidation>
    <dataValidation type="list" allowBlank="1" showInputMessage="1" showErrorMessage="1" sqref="B10 B13">
      <formula1>check</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419"/>
  <sheetViews>
    <sheetView topLeftCell="A386" zoomScaleNormal="100" workbookViewId="0">
      <selection activeCell="A18" sqref="A18:J42"/>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786" t="s">
        <v>188</v>
      </c>
      <c r="B1" s="787"/>
      <c r="C1" s="787"/>
      <c r="D1" s="787"/>
      <c r="E1" s="787"/>
      <c r="F1" s="787"/>
      <c r="G1" s="787"/>
      <c r="H1" s="787"/>
      <c r="I1" s="787"/>
      <c r="J1" s="788"/>
    </row>
    <row r="2" spans="1:10" ht="12.75" customHeight="1" x14ac:dyDescent="0.2">
      <c r="A2" s="789"/>
      <c r="B2" s="790"/>
      <c r="C2" s="790"/>
      <c r="D2" s="790"/>
      <c r="E2" s="790"/>
      <c r="F2" s="790"/>
      <c r="G2" s="790"/>
      <c r="H2" s="790"/>
      <c r="I2" s="790"/>
      <c r="J2" s="791"/>
    </row>
    <row r="3" spans="1:10" ht="12.75" customHeight="1" x14ac:dyDescent="0.2">
      <c r="A3" s="543" t="s">
        <v>177</v>
      </c>
      <c r="B3" s="544"/>
      <c r="C3" s="544"/>
      <c r="D3" s="544"/>
      <c r="E3" s="544"/>
      <c r="F3" s="544"/>
      <c r="G3" s="544"/>
      <c r="H3" s="544"/>
      <c r="I3" s="544"/>
      <c r="J3" s="545"/>
    </row>
    <row r="4" spans="1:10" ht="12.75" customHeight="1" x14ac:dyDescent="0.2">
      <c r="A4" s="573"/>
      <c r="B4" s="574"/>
      <c r="C4" s="574"/>
      <c r="D4" s="574"/>
      <c r="E4" s="574"/>
      <c r="F4" s="574"/>
      <c r="G4" s="574"/>
      <c r="H4" s="574"/>
      <c r="I4" s="574"/>
      <c r="J4" s="575"/>
    </row>
    <row r="5" spans="1:10" ht="12.75" customHeight="1" x14ac:dyDescent="0.2">
      <c r="A5" s="546"/>
      <c r="B5" s="547"/>
      <c r="C5" s="547"/>
      <c r="D5" s="547"/>
      <c r="E5" s="547"/>
      <c r="F5" s="547"/>
      <c r="G5" s="547"/>
      <c r="H5" s="547"/>
      <c r="I5" s="547"/>
      <c r="J5" s="548"/>
    </row>
    <row r="6" spans="1:10" ht="12.75" customHeight="1" x14ac:dyDescent="0.2">
      <c r="A6" s="576" t="s">
        <v>185</v>
      </c>
      <c r="B6" s="577"/>
      <c r="C6" s="577"/>
      <c r="D6" s="577"/>
      <c r="E6" s="577"/>
      <c r="F6" s="577"/>
      <c r="G6" s="577"/>
      <c r="H6" s="577"/>
      <c r="I6" s="577"/>
      <c r="J6" s="578"/>
    </row>
    <row r="7" spans="1:10" ht="12.75" customHeight="1" x14ac:dyDescent="0.2">
      <c r="A7" s="579"/>
      <c r="B7" s="580"/>
      <c r="C7" s="580"/>
      <c r="D7" s="580"/>
      <c r="E7" s="580"/>
      <c r="F7" s="580"/>
      <c r="G7" s="580"/>
      <c r="H7" s="580"/>
      <c r="I7" s="580"/>
      <c r="J7" s="581"/>
    </row>
    <row r="8" spans="1:10" ht="12.75" customHeight="1" x14ac:dyDescent="0.2">
      <c r="A8" s="579"/>
      <c r="B8" s="580"/>
      <c r="C8" s="580"/>
      <c r="D8" s="580"/>
      <c r="E8" s="580"/>
      <c r="F8" s="580"/>
      <c r="G8" s="580"/>
      <c r="H8" s="580"/>
      <c r="I8" s="580"/>
      <c r="J8" s="581"/>
    </row>
    <row r="9" spans="1:10" ht="12.75" customHeight="1" x14ac:dyDescent="0.2">
      <c r="A9" s="579"/>
      <c r="B9" s="580"/>
      <c r="C9" s="580"/>
      <c r="D9" s="580"/>
      <c r="E9" s="580"/>
      <c r="F9" s="580"/>
      <c r="G9" s="580"/>
      <c r="H9" s="580"/>
      <c r="I9" s="580"/>
      <c r="J9" s="581"/>
    </row>
    <row r="10" spans="1:10" ht="12.75" customHeight="1" x14ac:dyDescent="0.2">
      <c r="A10" s="772"/>
      <c r="B10" s="773"/>
      <c r="C10" s="773"/>
      <c r="D10" s="773"/>
      <c r="E10" s="773"/>
      <c r="F10" s="773"/>
      <c r="G10" s="773"/>
      <c r="H10" s="773"/>
      <c r="I10" s="773"/>
      <c r="J10" s="774"/>
    </row>
    <row r="11" spans="1:10" s="61" customFormat="1" x14ac:dyDescent="0.2">
      <c r="A11" s="55"/>
      <c r="B11" s="56"/>
      <c r="C11" s="57"/>
      <c r="D11" s="58"/>
      <c r="E11" s="58"/>
      <c r="F11" s="58"/>
      <c r="G11" s="58"/>
      <c r="H11" s="59"/>
      <c r="I11" s="57"/>
      <c r="J11" s="60"/>
    </row>
    <row r="12" spans="1:10" s="61" customFormat="1" ht="25.5" customHeight="1" x14ac:dyDescent="0.2">
      <c r="A12" s="602" t="s">
        <v>187</v>
      </c>
      <c r="B12" s="603"/>
      <c r="C12" s="603"/>
      <c r="D12" s="603"/>
      <c r="E12" s="603"/>
      <c r="F12" s="603"/>
      <c r="G12" s="603"/>
      <c r="H12" s="603"/>
      <c r="I12" s="603"/>
      <c r="J12" s="604"/>
    </row>
    <row r="13" spans="1:10" s="61" customFormat="1" ht="12.75" customHeight="1" x14ac:dyDescent="0.2">
      <c r="A13" s="348" t="s">
        <v>178</v>
      </c>
      <c r="B13" s="349"/>
      <c r="C13" s="349"/>
      <c r="D13" s="349"/>
      <c r="E13" s="349"/>
      <c r="F13" s="614"/>
      <c r="G13" s="614"/>
      <c r="H13" s="614"/>
      <c r="I13" s="614"/>
      <c r="J13" s="615"/>
    </row>
    <row r="14" spans="1:10" ht="12.75" customHeight="1" x14ac:dyDescent="0.2">
      <c r="A14" s="593" t="s">
        <v>370</v>
      </c>
      <c r="B14" s="594"/>
      <c r="C14" s="594"/>
      <c r="D14" s="594"/>
      <c r="E14" s="594"/>
      <c r="F14" s="594"/>
      <c r="G14" s="594"/>
      <c r="H14" s="594"/>
      <c r="I14" s="594"/>
      <c r="J14" s="595"/>
    </row>
    <row r="15" spans="1:10" ht="12.75" customHeight="1" x14ac:dyDescent="0.2">
      <c r="A15" s="596"/>
      <c r="B15" s="597"/>
      <c r="C15" s="597"/>
      <c r="D15" s="597"/>
      <c r="E15" s="597"/>
      <c r="F15" s="597"/>
      <c r="G15" s="597"/>
      <c r="H15" s="597"/>
      <c r="I15" s="597"/>
      <c r="J15" s="598"/>
    </row>
    <row r="16" spans="1:10" ht="12.75" customHeight="1" x14ac:dyDescent="0.2">
      <c r="A16" s="596"/>
      <c r="B16" s="597"/>
      <c r="C16" s="597"/>
      <c r="D16" s="597"/>
      <c r="E16" s="597"/>
      <c r="F16" s="597"/>
      <c r="G16" s="597"/>
      <c r="H16" s="597"/>
      <c r="I16" s="597"/>
      <c r="J16" s="598"/>
    </row>
    <row r="17" spans="1:10" ht="15" customHeight="1" x14ac:dyDescent="0.2">
      <c r="A17" s="599"/>
      <c r="B17" s="600"/>
      <c r="C17" s="600"/>
      <c r="D17" s="600"/>
      <c r="E17" s="600"/>
      <c r="F17" s="600"/>
      <c r="G17" s="600"/>
      <c r="H17" s="600"/>
      <c r="I17" s="600"/>
      <c r="J17" s="601"/>
    </row>
    <row r="18" spans="1:10" ht="12.75" customHeight="1" x14ac:dyDescent="0.2">
      <c r="A18" s="610"/>
      <c r="B18" s="611"/>
      <c r="C18" s="611"/>
      <c r="D18" s="611"/>
      <c r="E18" s="611"/>
      <c r="F18" s="611"/>
      <c r="G18" s="611"/>
      <c r="H18" s="611"/>
      <c r="I18" s="611"/>
      <c r="J18" s="612"/>
    </row>
    <row r="19" spans="1:10" ht="12.75" customHeight="1" x14ac:dyDescent="0.2">
      <c r="A19" s="610"/>
      <c r="B19" s="611"/>
      <c r="C19" s="611"/>
      <c r="D19" s="611"/>
      <c r="E19" s="611"/>
      <c r="F19" s="611"/>
      <c r="G19" s="611"/>
      <c r="H19" s="611"/>
      <c r="I19" s="611"/>
      <c r="J19" s="612"/>
    </row>
    <row r="20" spans="1:10" ht="12.75" customHeight="1" x14ac:dyDescent="0.2">
      <c r="A20" s="610"/>
      <c r="B20" s="611"/>
      <c r="C20" s="611"/>
      <c r="D20" s="611"/>
      <c r="E20" s="611"/>
      <c r="F20" s="611"/>
      <c r="G20" s="611"/>
      <c r="H20" s="611"/>
      <c r="I20" s="611"/>
      <c r="J20" s="612"/>
    </row>
    <row r="21" spans="1:10" ht="12.75" customHeight="1" x14ac:dyDescent="0.2">
      <c r="A21" s="610"/>
      <c r="B21" s="611"/>
      <c r="C21" s="611"/>
      <c r="D21" s="611"/>
      <c r="E21" s="611"/>
      <c r="F21" s="611"/>
      <c r="G21" s="611"/>
      <c r="H21" s="611"/>
      <c r="I21" s="611"/>
      <c r="J21" s="612"/>
    </row>
    <row r="22" spans="1:10" ht="12.75" customHeight="1" x14ac:dyDescent="0.2">
      <c r="A22" s="610"/>
      <c r="B22" s="611"/>
      <c r="C22" s="611"/>
      <c r="D22" s="611"/>
      <c r="E22" s="611"/>
      <c r="F22" s="611"/>
      <c r="G22" s="611"/>
      <c r="H22" s="611"/>
      <c r="I22" s="611"/>
      <c r="J22" s="612"/>
    </row>
    <row r="23" spans="1:10" ht="12.75" customHeight="1" x14ac:dyDescent="0.2">
      <c r="A23" s="610"/>
      <c r="B23" s="611"/>
      <c r="C23" s="611"/>
      <c r="D23" s="611"/>
      <c r="E23" s="611"/>
      <c r="F23" s="611"/>
      <c r="G23" s="611"/>
      <c r="H23" s="611"/>
      <c r="I23" s="611"/>
      <c r="J23" s="612"/>
    </row>
    <row r="24" spans="1:10" ht="12.75" customHeight="1" x14ac:dyDescent="0.2">
      <c r="A24" s="610"/>
      <c r="B24" s="611"/>
      <c r="C24" s="611"/>
      <c r="D24" s="611"/>
      <c r="E24" s="611"/>
      <c r="F24" s="611"/>
      <c r="G24" s="611"/>
      <c r="H24" s="611"/>
      <c r="I24" s="611"/>
      <c r="J24" s="612"/>
    </row>
    <row r="25" spans="1:10" ht="12.75" customHeight="1" x14ac:dyDescent="0.2">
      <c r="A25" s="610"/>
      <c r="B25" s="611"/>
      <c r="C25" s="611"/>
      <c r="D25" s="611"/>
      <c r="E25" s="611"/>
      <c r="F25" s="611"/>
      <c r="G25" s="611"/>
      <c r="H25" s="611"/>
      <c r="I25" s="611"/>
      <c r="J25" s="612"/>
    </row>
    <row r="26" spans="1:10" ht="12.75" customHeight="1" x14ac:dyDescent="0.2">
      <c r="A26" s="610"/>
      <c r="B26" s="611"/>
      <c r="C26" s="611"/>
      <c r="D26" s="611"/>
      <c r="E26" s="611"/>
      <c r="F26" s="611"/>
      <c r="G26" s="611"/>
      <c r="H26" s="611"/>
      <c r="I26" s="611"/>
      <c r="J26" s="612"/>
    </row>
    <row r="27" spans="1:10" ht="12.75" customHeight="1" x14ac:dyDescent="0.2">
      <c r="A27" s="610"/>
      <c r="B27" s="611"/>
      <c r="C27" s="611"/>
      <c r="D27" s="611"/>
      <c r="E27" s="611"/>
      <c r="F27" s="611"/>
      <c r="G27" s="611"/>
      <c r="H27" s="611"/>
      <c r="I27" s="611"/>
      <c r="J27" s="612"/>
    </row>
    <row r="28" spans="1:10" ht="12.75" customHeight="1" x14ac:dyDescent="0.2">
      <c r="A28" s="610"/>
      <c r="B28" s="611"/>
      <c r="C28" s="611"/>
      <c r="D28" s="611"/>
      <c r="E28" s="611"/>
      <c r="F28" s="611"/>
      <c r="G28" s="611"/>
      <c r="H28" s="611"/>
      <c r="I28" s="611"/>
      <c r="J28" s="612"/>
    </row>
    <row r="29" spans="1:10" ht="12.75" customHeight="1" x14ac:dyDescent="0.2">
      <c r="A29" s="610"/>
      <c r="B29" s="611"/>
      <c r="C29" s="611"/>
      <c r="D29" s="611"/>
      <c r="E29" s="611"/>
      <c r="F29" s="611"/>
      <c r="G29" s="611"/>
      <c r="H29" s="611"/>
      <c r="I29" s="611"/>
      <c r="J29" s="612"/>
    </row>
    <row r="30" spans="1:10" ht="12.75" customHeight="1" x14ac:dyDescent="0.2">
      <c r="A30" s="610"/>
      <c r="B30" s="611"/>
      <c r="C30" s="611"/>
      <c r="D30" s="611"/>
      <c r="E30" s="611"/>
      <c r="F30" s="611"/>
      <c r="G30" s="611"/>
      <c r="H30" s="611"/>
      <c r="I30" s="611"/>
      <c r="J30" s="612"/>
    </row>
    <row r="31" spans="1:10" ht="12.75" customHeight="1" x14ac:dyDescent="0.2">
      <c r="A31" s="610"/>
      <c r="B31" s="611"/>
      <c r="C31" s="611"/>
      <c r="D31" s="611"/>
      <c r="E31" s="611"/>
      <c r="F31" s="611"/>
      <c r="G31" s="611"/>
      <c r="H31" s="611"/>
      <c r="I31" s="611"/>
      <c r="J31" s="612"/>
    </row>
    <row r="32" spans="1:10" ht="12.75" customHeight="1" x14ac:dyDescent="0.2">
      <c r="A32" s="610"/>
      <c r="B32" s="611"/>
      <c r="C32" s="611"/>
      <c r="D32" s="611"/>
      <c r="E32" s="611"/>
      <c r="F32" s="611"/>
      <c r="G32" s="611"/>
      <c r="H32" s="611"/>
      <c r="I32" s="611"/>
      <c r="J32" s="612"/>
    </row>
    <row r="33" spans="1:10" ht="12.75" customHeight="1" x14ac:dyDescent="0.2">
      <c r="A33" s="610"/>
      <c r="B33" s="611"/>
      <c r="C33" s="611"/>
      <c r="D33" s="611"/>
      <c r="E33" s="611"/>
      <c r="F33" s="611"/>
      <c r="G33" s="611"/>
      <c r="H33" s="611"/>
      <c r="I33" s="611"/>
      <c r="J33" s="612"/>
    </row>
    <row r="34" spans="1:10" ht="12.75" customHeight="1" x14ac:dyDescent="0.2">
      <c r="A34" s="610"/>
      <c r="B34" s="611"/>
      <c r="C34" s="611"/>
      <c r="D34" s="611"/>
      <c r="E34" s="611"/>
      <c r="F34" s="611"/>
      <c r="G34" s="611"/>
      <c r="H34" s="611"/>
      <c r="I34" s="611"/>
      <c r="J34" s="612"/>
    </row>
    <row r="35" spans="1:10" ht="12.75" customHeight="1" x14ac:dyDescent="0.2">
      <c r="A35" s="610"/>
      <c r="B35" s="611"/>
      <c r="C35" s="611"/>
      <c r="D35" s="611"/>
      <c r="E35" s="611"/>
      <c r="F35" s="611"/>
      <c r="G35" s="611"/>
      <c r="H35" s="611"/>
      <c r="I35" s="611"/>
      <c r="J35" s="612"/>
    </row>
    <row r="36" spans="1:10" ht="12.75" customHeight="1" x14ac:dyDescent="0.2">
      <c r="A36" s="610"/>
      <c r="B36" s="611"/>
      <c r="C36" s="611"/>
      <c r="D36" s="611"/>
      <c r="E36" s="611"/>
      <c r="F36" s="611"/>
      <c r="G36" s="611"/>
      <c r="H36" s="611"/>
      <c r="I36" s="611"/>
      <c r="J36" s="612"/>
    </row>
    <row r="37" spans="1:10" ht="12.75" customHeight="1" x14ac:dyDescent="0.2">
      <c r="A37" s="610"/>
      <c r="B37" s="611"/>
      <c r="C37" s="611"/>
      <c r="D37" s="611"/>
      <c r="E37" s="611"/>
      <c r="F37" s="611"/>
      <c r="G37" s="611"/>
      <c r="H37" s="611"/>
      <c r="I37" s="611"/>
      <c r="J37" s="612"/>
    </row>
    <row r="38" spans="1:10" ht="12.75" customHeight="1" x14ac:dyDescent="0.2">
      <c r="A38" s="610"/>
      <c r="B38" s="611"/>
      <c r="C38" s="611"/>
      <c r="D38" s="611"/>
      <c r="E38" s="611"/>
      <c r="F38" s="611"/>
      <c r="G38" s="611"/>
      <c r="H38" s="611"/>
      <c r="I38" s="611"/>
      <c r="J38" s="612"/>
    </row>
    <row r="39" spans="1:10" ht="12.75" customHeight="1" x14ac:dyDescent="0.2">
      <c r="A39" s="610"/>
      <c r="B39" s="611"/>
      <c r="C39" s="611"/>
      <c r="D39" s="611"/>
      <c r="E39" s="611"/>
      <c r="F39" s="611"/>
      <c r="G39" s="611"/>
      <c r="H39" s="611"/>
      <c r="I39" s="611"/>
      <c r="J39" s="612"/>
    </row>
    <row r="40" spans="1:10" ht="12.75" customHeight="1" x14ac:dyDescent="0.2">
      <c r="A40" s="610"/>
      <c r="B40" s="611"/>
      <c r="C40" s="611"/>
      <c r="D40" s="611"/>
      <c r="E40" s="611"/>
      <c r="F40" s="611"/>
      <c r="G40" s="611"/>
      <c r="H40" s="611"/>
      <c r="I40" s="611"/>
      <c r="J40" s="612"/>
    </row>
    <row r="41" spans="1:10" ht="12.75" customHeight="1" x14ac:dyDescent="0.2">
      <c r="A41" s="610"/>
      <c r="B41" s="611"/>
      <c r="C41" s="611"/>
      <c r="D41" s="611"/>
      <c r="E41" s="611"/>
      <c r="F41" s="611"/>
      <c r="G41" s="611"/>
      <c r="H41" s="611"/>
      <c r="I41" s="611"/>
      <c r="J41" s="612"/>
    </row>
    <row r="42" spans="1:10" ht="12.75" customHeight="1" x14ac:dyDescent="0.2">
      <c r="A42" s="610"/>
      <c r="B42" s="611"/>
      <c r="C42" s="611"/>
      <c r="D42" s="611"/>
      <c r="E42" s="611"/>
      <c r="F42" s="611"/>
      <c r="G42" s="611"/>
      <c r="H42" s="611"/>
      <c r="I42" s="611"/>
      <c r="J42" s="612"/>
    </row>
    <row r="43" spans="1:10" s="61" customFormat="1" x14ac:dyDescent="0.2">
      <c r="A43" s="55"/>
      <c r="B43" s="56"/>
      <c r="C43" s="57"/>
      <c r="D43" s="58"/>
      <c r="E43" s="58"/>
      <c r="F43" s="58"/>
      <c r="G43" s="58"/>
      <c r="H43" s="59"/>
      <c r="I43" s="57"/>
      <c r="J43" s="60"/>
    </row>
    <row r="44" spans="1:10" s="61" customFormat="1" ht="25.5" customHeight="1" x14ac:dyDescent="0.2">
      <c r="A44" s="602" t="s">
        <v>186</v>
      </c>
      <c r="B44" s="603"/>
      <c r="C44" s="603"/>
      <c r="D44" s="603"/>
      <c r="E44" s="603"/>
      <c r="F44" s="603"/>
      <c r="G44" s="603"/>
      <c r="H44" s="603"/>
      <c r="I44" s="603"/>
      <c r="J44" s="604"/>
    </row>
    <row r="45" spans="1:10" s="61" customFormat="1" ht="12.75" customHeight="1" x14ac:dyDescent="0.2">
      <c r="A45" s="348" t="s">
        <v>178</v>
      </c>
      <c r="B45" s="349"/>
      <c r="C45" s="349"/>
      <c r="D45" s="349"/>
      <c r="E45" s="349"/>
      <c r="F45" s="614"/>
      <c r="G45" s="614"/>
      <c r="H45" s="614"/>
      <c r="I45" s="614"/>
      <c r="J45" s="615"/>
    </row>
    <row r="46" spans="1:10" ht="12.75" customHeight="1" x14ac:dyDescent="0.2">
      <c r="A46" s="593" t="s">
        <v>370</v>
      </c>
      <c r="B46" s="594"/>
      <c r="C46" s="594"/>
      <c r="D46" s="594"/>
      <c r="E46" s="594"/>
      <c r="F46" s="594"/>
      <c r="G46" s="594"/>
      <c r="H46" s="594"/>
      <c r="I46" s="594"/>
      <c r="J46" s="595"/>
    </row>
    <row r="47" spans="1:10" ht="12.75" customHeight="1" x14ac:dyDescent="0.2">
      <c r="A47" s="596"/>
      <c r="B47" s="597"/>
      <c r="C47" s="597"/>
      <c r="D47" s="597"/>
      <c r="E47" s="597"/>
      <c r="F47" s="597"/>
      <c r="G47" s="597"/>
      <c r="H47" s="597"/>
      <c r="I47" s="597"/>
      <c r="J47" s="598"/>
    </row>
    <row r="48" spans="1:10" ht="12.75" customHeight="1" x14ac:dyDescent="0.2">
      <c r="A48" s="596"/>
      <c r="B48" s="597"/>
      <c r="C48" s="597"/>
      <c r="D48" s="597"/>
      <c r="E48" s="597"/>
      <c r="F48" s="597"/>
      <c r="G48" s="597"/>
      <c r="H48" s="597"/>
      <c r="I48" s="597"/>
      <c r="J48" s="598"/>
    </row>
    <row r="49" spans="1:10" ht="15" customHeight="1" x14ac:dyDescent="0.2">
      <c r="A49" s="599"/>
      <c r="B49" s="600"/>
      <c r="C49" s="600"/>
      <c r="D49" s="600"/>
      <c r="E49" s="600"/>
      <c r="F49" s="600"/>
      <c r="G49" s="600"/>
      <c r="H49" s="600"/>
      <c r="I49" s="600"/>
      <c r="J49" s="601"/>
    </row>
    <row r="50" spans="1:10" ht="12.75" customHeight="1" x14ac:dyDescent="0.2">
      <c r="A50" s="610"/>
      <c r="B50" s="611"/>
      <c r="C50" s="611"/>
      <c r="D50" s="611"/>
      <c r="E50" s="611"/>
      <c r="F50" s="611"/>
      <c r="G50" s="611"/>
      <c r="H50" s="611"/>
      <c r="I50" s="611"/>
      <c r="J50" s="612"/>
    </row>
    <row r="51" spans="1:10" ht="12.75" customHeight="1" x14ac:dyDescent="0.2">
      <c r="A51" s="610"/>
      <c r="B51" s="611"/>
      <c r="C51" s="611"/>
      <c r="D51" s="611"/>
      <c r="E51" s="611"/>
      <c r="F51" s="611"/>
      <c r="G51" s="611"/>
      <c r="H51" s="611"/>
      <c r="I51" s="611"/>
      <c r="J51" s="612"/>
    </row>
    <row r="52" spans="1:10" ht="12.75" customHeight="1" x14ac:dyDescent="0.2">
      <c r="A52" s="610"/>
      <c r="B52" s="611"/>
      <c r="C52" s="611"/>
      <c r="D52" s="611"/>
      <c r="E52" s="611"/>
      <c r="F52" s="611"/>
      <c r="G52" s="611"/>
      <c r="H52" s="611"/>
      <c r="I52" s="611"/>
      <c r="J52" s="612"/>
    </row>
    <row r="53" spans="1:10" ht="12.75" customHeight="1" x14ac:dyDescent="0.2">
      <c r="A53" s="610"/>
      <c r="B53" s="611"/>
      <c r="C53" s="611"/>
      <c r="D53" s="611"/>
      <c r="E53" s="611"/>
      <c r="F53" s="611"/>
      <c r="G53" s="611"/>
      <c r="H53" s="611"/>
      <c r="I53" s="611"/>
      <c r="J53" s="612"/>
    </row>
    <row r="54" spans="1:10" ht="12.75" customHeight="1" x14ac:dyDescent="0.2">
      <c r="A54" s="610"/>
      <c r="B54" s="611"/>
      <c r="C54" s="611"/>
      <c r="D54" s="611"/>
      <c r="E54" s="611"/>
      <c r="F54" s="611"/>
      <c r="G54" s="611"/>
      <c r="H54" s="611"/>
      <c r="I54" s="611"/>
      <c r="J54" s="612"/>
    </row>
    <row r="55" spans="1:10" ht="12.75" customHeight="1" x14ac:dyDescent="0.2">
      <c r="A55" s="610"/>
      <c r="B55" s="611"/>
      <c r="C55" s="611"/>
      <c r="D55" s="611"/>
      <c r="E55" s="611"/>
      <c r="F55" s="611"/>
      <c r="G55" s="611"/>
      <c r="H55" s="611"/>
      <c r="I55" s="611"/>
      <c r="J55" s="612"/>
    </row>
    <row r="56" spans="1:10" ht="12.75" customHeight="1" x14ac:dyDescent="0.2">
      <c r="A56" s="610"/>
      <c r="B56" s="611"/>
      <c r="C56" s="611"/>
      <c r="D56" s="611"/>
      <c r="E56" s="611"/>
      <c r="F56" s="611"/>
      <c r="G56" s="611"/>
      <c r="H56" s="611"/>
      <c r="I56" s="611"/>
      <c r="J56" s="612"/>
    </row>
    <row r="57" spans="1:10" ht="12.75" customHeight="1" x14ac:dyDescent="0.2">
      <c r="A57" s="610"/>
      <c r="B57" s="611"/>
      <c r="C57" s="611"/>
      <c r="D57" s="611"/>
      <c r="E57" s="611"/>
      <c r="F57" s="611"/>
      <c r="G57" s="611"/>
      <c r="H57" s="611"/>
      <c r="I57" s="611"/>
      <c r="J57" s="612"/>
    </row>
    <row r="58" spans="1:10" ht="12.75" customHeight="1" x14ac:dyDescent="0.2">
      <c r="A58" s="610"/>
      <c r="B58" s="611"/>
      <c r="C58" s="611"/>
      <c r="D58" s="611"/>
      <c r="E58" s="611"/>
      <c r="F58" s="611"/>
      <c r="G58" s="611"/>
      <c r="H58" s="611"/>
      <c r="I58" s="611"/>
      <c r="J58" s="612"/>
    </row>
    <row r="59" spans="1:10" ht="12.75" customHeight="1" x14ac:dyDescent="0.2">
      <c r="A59" s="610"/>
      <c r="B59" s="611"/>
      <c r="C59" s="611"/>
      <c r="D59" s="611"/>
      <c r="E59" s="611"/>
      <c r="F59" s="611"/>
      <c r="G59" s="611"/>
      <c r="H59" s="611"/>
      <c r="I59" s="611"/>
      <c r="J59" s="612"/>
    </row>
    <row r="60" spans="1:10" ht="12.75" customHeight="1" x14ac:dyDescent="0.2">
      <c r="A60" s="610"/>
      <c r="B60" s="611"/>
      <c r="C60" s="611"/>
      <c r="D60" s="611"/>
      <c r="E60" s="611"/>
      <c r="F60" s="611"/>
      <c r="G60" s="611"/>
      <c r="H60" s="611"/>
      <c r="I60" s="611"/>
      <c r="J60" s="612"/>
    </row>
    <row r="61" spans="1:10" ht="12.75" customHeight="1" x14ac:dyDescent="0.2">
      <c r="A61" s="610"/>
      <c r="B61" s="611"/>
      <c r="C61" s="611"/>
      <c r="D61" s="611"/>
      <c r="E61" s="611"/>
      <c r="F61" s="611"/>
      <c r="G61" s="611"/>
      <c r="H61" s="611"/>
      <c r="I61" s="611"/>
      <c r="J61" s="612"/>
    </row>
    <row r="62" spans="1:10" ht="12.75" customHeight="1" x14ac:dyDescent="0.2">
      <c r="A62" s="610"/>
      <c r="B62" s="611"/>
      <c r="C62" s="611"/>
      <c r="D62" s="611"/>
      <c r="E62" s="611"/>
      <c r="F62" s="611"/>
      <c r="G62" s="611"/>
      <c r="H62" s="611"/>
      <c r="I62" s="611"/>
      <c r="J62" s="612"/>
    </row>
    <row r="63" spans="1:10" ht="12.75" customHeight="1" x14ac:dyDescent="0.2">
      <c r="A63" s="610"/>
      <c r="B63" s="611"/>
      <c r="C63" s="611"/>
      <c r="D63" s="611"/>
      <c r="E63" s="611"/>
      <c r="F63" s="611"/>
      <c r="G63" s="611"/>
      <c r="H63" s="611"/>
      <c r="I63" s="611"/>
      <c r="J63" s="612"/>
    </row>
    <row r="64" spans="1:10" ht="12.75" customHeight="1" x14ac:dyDescent="0.2">
      <c r="A64" s="610"/>
      <c r="B64" s="611"/>
      <c r="C64" s="611"/>
      <c r="D64" s="611"/>
      <c r="E64" s="611"/>
      <c r="F64" s="611"/>
      <c r="G64" s="611"/>
      <c r="H64" s="611"/>
      <c r="I64" s="611"/>
      <c r="J64" s="612"/>
    </row>
    <row r="65" spans="1:10" ht="12.75" customHeight="1" x14ac:dyDescent="0.2">
      <c r="A65" s="610"/>
      <c r="B65" s="611"/>
      <c r="C65" s="611"/>
      <c r="D65" s="611"/>
      <c r="E65" s="611"/>
      <c r="F65" s="611"/>
      <c r="G65" s="611"/>
      <c r="H65" s="611"/>
      <c r="I65" s="611"/>
      <c r="J65" s="612"/>
    </row>
    <row r="66" spans="1:10" ht="12.75" customHeight="1" x14ac:dyDescent="0.2">
      <c r="A66" s="610"/>
      <c r="B66" s="611"/>
      <c r="C66" s="611"/>
      <c r="D66" s="611"/>
      <c r="E66" s="611"/>
      <c r="F66" s="611"/>
      <c r="G66" s="611"/>
      <c r="H66" s="611"/>
      <c r="I66" s="611"/>
      <c r="J66" s="612"/>
    </row>
    <row r="67" spans="1:10" ht="12.75" customHeight="1" x14ac:dyDescent="0.2">
      <c r="A67" s="610"/>
      <c r="B67" s="611"/>
      <c r="C67" s="611"/>
      <c r="D67" s="611"/>
      <c r="E67" s="611"/>
      <c r="F67" s="611"/>
      <c r="G67" s="611"/>
      <c r="H67" s="611"/>
      <c r="I67" s="611"/>
      <c r="J67" s="612"/>
    </row>
    <row r="68" spans="1:10" ht="12.75" customHeight="1" x14ac:dyDescent="0.2">
      <c r="A68" s="610"/>
      <c r="B68" s="611"/>
      <c r="C68" s="611"/>
      <c r="D68" s="611"/>
      <c r="E68" s="611"/>
      <c r="F68" s="611"/>
      <c r="G68" s="611"/>
      <c r="H68" s="611"/>
      <c r="I68" s="611"/>
      <c r="J68" s="612"/>
    </row>
    <row r="69" spans="1:10" ht="12.75" customHeight="1" x14ac:dyDescent="0.2">
      <c r="A69" s="610"/>
      <c r="B69" s="611"/>
      <c r="C69" s="611"/>
      <c r="D69" s="611"/>
      <c r="E69" s="611"/>
      <c r="F69" s="611"/>
      <c r="G69" s="611"/>
      <c r="H69" s="611"/>
      <c r="I69" s="611"/>
      <c r="J69" s="612"/>
    </row>
    <row r="70" spans="1:10" ht="12.75" customHeight="1" x14ac:dyDescent="0.2">
      <c r="A70" s="610"/>
      <c r="B70" s="611"/>
      <c r="C70" s="611"/>
      <c r="D70" s="611"/>
      <c r="E70" s="611"/>
      <c r="F70" s="611"/>
      <c r="G70" s="611"/>
      <c r="H70" s="611"/>
      <c r="I70" s="611"/>
      <c r="J70" s="612"/>
    </row>
    <row r="71" spans="1:10" ht="12.75" customHeight="1" x14ac:dyDescent="0.2">
      <c r="A71" s="610"/>
      <c r="B71" s="611"/>
      <c r="C71" s="611"/>
      <c r="D71" s="611"/>
      <c r="E71" s="611"/>
      <c r="F71" s="611"/>
      <c r="G71" s="611"/>
      <c r="H71" s="611"/>
      <c r="I71" s="611"/>
      <c r="J71" s="612"/>
    </row>
    <row r="72" spans="1:10" ht="12.75" customHeight="1" x14ac:dyDescent="0.2">
      <c r="A72" s="610"/>
      <c r="B72" s="611"/>
      <c r="C72" s="611"/>
      <c r="D72" s="611"/>
      <c r="E72" s="611"/>
      <c r="F72" s="611"/>
      <c r="G72" s="611"/>
      <c r="H72" s="611"/>
      <c r="I72" s="611"/>
      <c r="J72" s="612"/>
    </row>
    <row r="73" spans="1:10" ht="12.75" customHeight="1" x14ac:dyDescent="0.2">
      <c r="A73" s="610"/>
      <c r="B73" s="611"/>
      <c r="C73" s="611"/>
      <c r="D73" s="611"/>
      <c r="E73" s="611"/>
      <c r="F73" s="611"/>
      <c r="G73" s="611"/>
      <c r="H73" s="611"/>
      <c r="I73" s="611"/>
      <c r="J73" s="612"/>
    </row>
    <row r="74" spans="1:10" ht="12.75" customHeight="1" x14ac:dyDescent="0.2">
      <c r="A74" s="610"/>
      <c r="B74" s="611"/>
      <c r="C74" s="611"/>
      <c r="D74" s="611"/>
      <c r="E74" s="611"/>
      <c r="F74" s="611"/>
      <c r="G74" s="611"/>
      <c r="H74" s="611"/>
      <c r="I74" s="611"/>
      <c r="J74" s="612"/>
    </row>
    <row r="75" spans="1:10" ht="12.75" customHeight="1" x14ac:dyDescent="0.2">
      <c r="A75" s="610"/>
      <c r="B75" s="611"/>
      <c r="C75" s="611"/>
      <c r="D75" s="611"/>
      <c r="E75" s="611"/>
      <c r="F75" s="611"/>
      <c r="G75" s="611"/>
      <c r="H75" s="611"/>
      <c r="I75" s="611"/>
      <c r="J75" s="612"/>
    </row>
    <row r="76" spans="1:10" ht="12.75" customHeight="1" x14ac:dyDescent="0.2">
      <c r="A76" s="610"/>
      <c r="B76" s="611"/>
      <c r="C76" s="611"/>
      <c r="D76" s="611"/>
      <c r="E76" s="611"/>
      <c r="F76" s="611"/>
      <c r="G76" s="611"/>
      <c r="H76" s="611"/>
      <c r="I76" s="611"/>
      <c r="J76" s="612"/>
    </row>
    <row r="77" spans="1:10" ht="12.75" customHeight="1" x14ac:dyDescent="0.2">
      <c r="A77" s="610"/>
      <c r="B77" s="611"/>
      <c r="C77" s="611"/>
      <c r="D77" s="611"/>
      <c r="E77" s="611"/>
      <c r="F77" s="611"/>
      <c r="G77" s="611"/>
      <c r="H77" s="611"/>
      <c r="I77" s="611"/>
      <c r="J77" s="612"/>
    </row>
    <row r="78" spans="1:10" ht="12.75" customHeight="1" x14ac:dyDescent="0.2">
      <c r="A78" s="610"/>
      <c r="B78" s="611"/>
      <c r="C78" s="611"/>
      <c r="D78" s="611"/>
      <c r="E78" s="611"/>
      <c r="F78" s="611"/>
      <c r="G78" s="611"/>
      <c r="H78" s="611"/>
      <c r="I78" s="611"/>
      <c r="J78" s="612"/>
    </row>
    <row r="79" spans="1:10" ht="12.75" customHeight="1" x14ac:dyDescent="0.2">
      <c r="A79" s="610"/>
      <c r="B79" s="611"/>
      <c r="C79" s="611"/>
      <c r="D79" s="611"/>
      <c r="E79" s="611"/>
      <c r="F79" s="611"/>
      <c r="G79" s="611"/>
      <c r="H79" s="611"/>
      <c r="I79" s="611"/>
      <c r="J79" s="612"/>
    </row>
    <row r="80" spans="1:10" ht="12.75" customHeight="1" x14ac:dyDescent="0.2">
      <c r="A80" s="610"/>
      <c r="B80" s="611"/>
      <c r="C80" s="611"/>
      <c r="D80" s="611"/>
      <c r="E80" s="611"/>
      <c r="F80" s="611"/>
      <c r="G80" s="611"/>
      <c r="H80" s="611"/>
      <c r="I80" s="611"/>
      <c r="J80" s="612"/>
    </row>
    <row r="81" spans="1:10" ht="12.75" customHeight="1" x14ac:dyDescent="0.2">
      <c r="A81" s="610"/>
      <c r="B81" s="611"/>
      <c r="C81" s="611"/>
      <c r="D81" s="611"/>
      <c r="E81" s="611"/>
      <c r="F81" s="611"/>
      <c r="G81" s="611"/>
      <c r="H81" s="611"/>
      <c r="I81" s="611"/>
      <c r="J81" s="612"/>
    </row>
    <row r="82" spans="1:10" ht="12.75" customHeight="1" x14ac:dyDescent="0.2">
      <c r="A82" s="610"/>
      <c r="B82" s="611"/>
      <c r="C82" s="611"/>
      <c r="D82" s="611"/>
      <c r="E82" s="611"/>
      <c r="F82" s="611"/>
      <c r="G82" s="611"/>
      <c r="H82" s="611"/>
      <c r="I82" s="611"/>
      <c r="J82" s="612"/>
    </row>
    <row r="83" spans="1:10" ht="12.75" customHeight="1" x14ac:dyDescent="0.2">
      <c r="A83" s="610"/>
      <c r="B83" s="611"/>
      <c r="C83" s="611"/>
      <c r="D83" s="611"/>
      <c r="E83" s="611"/>
      <c r="F83" s="611"/>
      <c r="G83" s="611"/>
      <c r="H83" s="611"/>
      <c r="I83" s="611"/>
      <c r="J83" s="612"/>
    </row>
    <row r="84" spans="1:10" ht="12.75" customHeight="1" x14ac:dyDescent="0.2">
      <c r="A84" s="610"/>
      <c r="B84" s="611"/>
      <c r="C84" s="611"/>
      <c r="D84" s="611"/>
      <c r="E84" s="611"/>
      <c r="F84" s="611"/>
      <c r="G84" s="611"/>
      <c r="H84" s="611"/>
      <c r="I84" s="611"/>
      <c r="J84" s="612"/>
    </row>
    <row r="85" spans="1:10" s="61" customFormat="1" x14ac:dyDescent="0.2">
      <c r="A85" s="55"/>
      <c r="B85" s="56"/>
      <c r="C85" s="57"/>
      <c r="D85" s="58"/>
      <c r="E85" s="58"/>
      <c r="F85" s="58"/>
      <c r="G85" s="58"/>
      <c r="H85" s="59"/>
      <c r="I85" s="57"/>
      <c r="J85" s="60"/>
    </row>
    <row r="86" spans="1:10" s="61" customFormat="1" ht="25.5" customHeight="1" x14ac:dyDescent="0.2">
      <c r="A86" s="602" t="s">
        <v>180</v>
      </c>
      <c r="B86" s="603"/>
      <c r="C86" s="603"/>
      <c r="D86" s="603"/>
      <c r="E86" s="603"/>
      <c r="F86" s="603"/>
      <c r="G86" s="603"/>
      <c r="H86" s="603"/>
      <c r="I86" s="603"/>
      <c r="J86" s="604"/>
    </row>
    <row r="87" spans="1:10" s="61" customFormat="1" ht="12.75" customHeight="1" x14ac:dyDescent="0.2">
      <c r="A87" s="348" t="s">
        <v>178</v>
      </c>
      <c r="B87" s="349"/>
      <c r="C87" s="349"/>
      <c r="D87" s="349"/>
      <c r="E87" s="349"/>
      <c r="F87" s="614"/>
      <c r="G87" s="614"/>
      <c r="H87" s="614"/>
      <c r="I87" s="614"/>
      <c r="J87" s="615"/>
    </row>
    <row r="88" spans="1:10" ht="12.75" customHeight="1" x14ac:dyDescent="0.2">
      <c r="A88" s="593" t="s">
        <v>370</v>
      </c>
      <c r="B88" s="594"/>
      <c r="C88" s="594"/>
      <c r="D88" s="594"/>
      <c r="E88" s="594"/>
      <c r="F88" s="594"/>
      <c r="G88" s="594"/>
      <c r="H88" s="594"/>
      <c r="I88" s="594"/>
      <c r="J88" s="595"/>
    </row>
    <row r="89" spans="1:10" ht="12.75" customHeight="1" x14ac:dyDescent="0.2">
      <c r="A89" s="596"/>
      <c r="B89" s="597"/>
      <c r="C89" s="597"/>
      <c r="D89" s="597"/>
      <c r="E89" s="597"/>
      <c r="F89" s="597"/>
      <c r="G89" s="597"/>
      <c r="H89" s="597"/>
      <c r="I89" s="597"/>
      <c r="J89" s="598"/>
    </row>
    <row r="90" spans="1:10" ht="12.75" customHeight="1" x14ac:dyDescent="0.2">
      <c r="A90" s="596"/>
      <c r="B90" s="597"/>
      <c r="C90" s="597"/>
      <c r="D90" s="597"/>
      <c r="E90" s="597"/>
      <c r="F90" s="597"/>
      <c r="G90" s="597"/>
      <c r="H90" s="597"/>
      <c r="I90" s="597"/>
      <c r="J90" s="598"/>
    </row>
    <row r="91" spans="1:10" ht="15" customHeight="1" x14ac:dyDescent="0.2">
      <c r="A91" s="599"/>
      <c r="B91" s="600"/>
      <c r="C91" s="600"/>
      <c r="D91" s="600"/>
      <c r="E91" s="600"/>
      <c r="F91" s="600"/>
      <c r="G91" s="600"/>
      <c r="H91" s="600"/>
      <c r="I91" s="600"/>
      <c r="J91" s="601"/>
    </row>
    <row r="92" spans="1:10" ht="12.75" customHeight="1" x14ac:dyDescent="0.2">
      <c r="A92" s="610"/>
      <c r="B92" s="611"/>
      <c r="C92" s="611"/>
      <c r="D92" s="611"/>
      <c r="E92" s="611"/>
      <c r="F92" s="611"/>
      <c r="G92" s="611"/>
      <c r="H92" s="611"/>
      <c r="I92" s="611"/>
      <c r="J92" s="612"/>
    </row>
    <row r="93" spans="1:10" ht="12.75" customHeight="1" x14ac:dyDescent="0.2">
      <c r="A93" s="610"/>
      <c r="B93" s="611"/>
      <c r="C93" s="611"/>
      <c r="D93" s="611"/>
      <c r="E93" s="611"/>
      <c r="F93" s="611"/>
      <c r="G93" s="611"/>
      <c r="H93" s="611"/>
      <c r="I93" s="611"/>
      <c r="J93" s="612"/>
    </row>
    <row r="94" spans="1:10" ht="12.75" customHeight="1" x14ac:dyDescent="0.2">
      <c r="A94" s="610"/>
      <c r="B94" s="611"/>
      <c r="C94" s="611"/>
      <c r="D94" s="611"/>
      <c r="E94" s="611"/>
      <c r="F94" s="611"/>
      <c r="G94" s="611"/>
      <c r="H94" s="611"/>
      <c r="I94" s="611"/>
      <c r="J94" s="612"/>
    </row>
    <row r="95" spans="1:10" ht="12.75" customHeight="1" x14ac:dyDescent="0.2">
      <c r="A95" s="610"/>
      <c r="B95" s="611"/>
      <c r="C95" s="611"/>
      <c r="D95" s="611"/>
      <c r="E95" s="611"/>
      <c r="F95" s="611"/>
      <c r="G95" s="611"/>
      <c r="H95" s="611"/>
      <c r="I95" s="611"/>
      <c r="J95" s="612"/>
    </row>
    <row r="96" spans="1:10" ht="12.75" customHeight="1" x14ac:dyDescent="0.2">
      <c r="A96" s="610"/>
      <c r="B96" s="611"/>
      <c r="C96" s="611"/>
      <c r="D96" s="611"/>
      <c r="E96" s="611"/>
      <c r="F96" s="611"/>
      <c r="G96" s="611"/>
      <c r="H96" s="611"/>
      <c r="I96" s="611"/>
      <c r="J96" s="612"/>
    </row>
    <row r="97" spans="1:10" ht="12.75" customHeight="1" x14ac:dyDescent="0.2">
      <c r="A97" s="610"/>
      <c r="B97" s="611"/>
      <c r="C97" s="611"/>
      <c r="D97" s="611"/>
      <c r="E97" s="611"/>
      <c r="F97" s="611"/>
      <c r="G97" s="611"/>
      <c r="H97" s="611"/>
      <c r="I97" s="611"/>
      <c r="J97" s="612"/>
    </row>
    <row r="98" spans="1:10" ht="12.75" customHeight="1" x14ac:dyDescent="0.2">
      <c r="A98" s="610"/>
      <c r="B98" s="611"/>
      <c r="C98" s="611"/>
      <c r="D98" s="611"/>
      <c r="E98" s="611"/>
      <c r="F98" s="611"/>
      <c r="G98" s="611"/>
      <c r="H98" s="611"/>
      <c r="I98" s="611"/>
      <c r="J98" s="612"/>
    </row>
    <row r="99" spans="1:10" ht="12.75" customHeight="1" x14ac:dyDescent="0.2">
      <c r="A99" s="610"/>
      <c r="B99" s="611"/>
      <c r="C99" s="611"/>
      <c r="D99" s="611"/>
      <c r="E99" s="611"/>
      <c r="F99" s="611"/>
      <c r="G99" s="611"/>
      <c r="H99" s="611"/>
      <c r="I99" s="611"/>
      <c r="J99" s="612"/>
    </row>
    <row r="100" spans="1:10" ht="12.75" customHeight="1" x14ac:dyDescent="0.2">
      <c r="A100" s="610"/>
      <c r="B100" s="611"/>
      <c r="C100" s="611"/>
      <c r="D100" s="611"/>
      <c r="E100" s="611"/>
      <c r="F100" s="611"/>
      <c r="G100" s="611"/>
      <c r="H100" s="611"/>
      <c r="I100" s="611"/>
      <c r="J100" s="612"/>
    </row>
    <row r="101" spans="1:10" ht="12.75" customHeight="1" x14ac:dyDescent="0.2">
      <c r="A101" s="610"/>
      <c r="B101" s="611"/>
      <c r="C101" s="611"/>
      <c r="D101" s="611"/>
      <c r="E101" s="611"/>
      <c r="F101" s="611"/>
      <c r="G101" s="611"/>
      <c r="H101" s="611"/>
      <c r="I101" s="611"/>
      <c r="J101" s="612"/>
    </row>
    <row r="102" spans="1:10" ht="12.75" customHeight="1" x14ac:dyDescent="0.2">
      <c r="A102" s="610"/>
      <c r="B102" s="611"/>
      <c r="C102" s="611"/>
      <c r="D102" s="611"/>
      <c r="E102" s="611"/>
      <c r="F102" s="611"/>
      <c r="G102" s="611"/>
      <c r="H102" s="611"/>
      <c r="I102" s="611"/>
      <c r="J102" s="612"/>
    </row>
    <row r="103" spans="1:10" ht="12.75" customHeight="1" x14ac:dyDescent="0.2">
      <c r="A103" s="610"/>
      <c r="B103" s="611"/>
      <c r="C103" s="611"/>
      <c r="D103" s="611"/>
      <c r="E103" s="611"/>
      <c r="F103" s="611"/>
      <c r="G103" s="611"/>
      <c r="H103" s="611"/>
      <c r="I103" s="611"/>
      <c r="J103" s="612"/>
    </row>
    <row r="104" spans="1:10" ht="12.75" customHeight="1" x14ac:dyDescent="0.2">
      <c r="A104" s="610"/>
      <c r="B104" s="611"/>
      <c r="C104" s="611"/>
      <c r="D104" s="611"/>
      <c r="E104" s="611"/>
      <c r="F104" s="611"/>
      <c r="G104" s="611"/>
      <c r="H104" s="611"/>
      <c r="I104" s="611"/>
      <c r="J104" s="612"/>
    </row>
    <row r="105" spans="1:10" ht="12.75" customHeight="1" x14ac:dyDescent="0.2">
      <c r="A105" s="610"/>
      <c r="B105" s="611"/>
      <c r="C105" s="611"/>
      <c r="D105" s="611"/>
      <c r="E105" s="611"/>
      <c r="F105" s="611"/>
      <c r="G105" s="611"/>
      <c r="H105" s="611"/>
      <c r="I105" s="611"/>
      <c r="J105" s="612"/>
    </row>
    <row r="106" spans="1:10" ht="12.75" customHeight="1" x14ac:dyDescent="0.2">
      <c r="A106" s="610"/>
      <c r="B106" s="611"/>
      <c r="C106" s="611"/>
      <c r="D106" s="611"/>
      <c r="E106" s="611"/>
      <c r="F106" s="611"/>
      <c r="G106" s="611"/>
      <c r="H106" s="611"/>
      <c r="I106" s="611"/>
      <c r="J106" s="612"/>
    </row>
    <row r="107" spans="1:10" ht="12.75" customHeight="1" x14ac:dyDescent="0.2">
      <c r="A107" s="610"/>
      <c r="B107" s="611"/>
      <c r="C107" s="611"/>
      <c r="D107" s="611"/>
      <c r="E107" s="611"/>
      <c r="F107" s="611"/>
      <c r="G107" s="611"/>
      <c r="H107" s="611"/>
      <c r="I107" s="611"/>
      <c r="J107" s="612"/>
    </row>
    <row r="108" spans="1:10" ht="12.75" customHeight="1" x14ac:dyDescent="0.2">
      <c r="A108" s="610"/>
      <c r="B108" s="611"/>
      <c r="C108" s="611"/>
      <c r="D108" s="611"/>
      <c r="E108" s="611"/>
      <c r="F108" s="611"/>
      <c r="G108" s="611"/>
      <c r="H108" s="611"/>
      <c r="I108" s="611"/>
      <c r="J108" s="612"/>
    </row>
    <row r="109" spans="1:10" ht="12.75" customHeight="1" x14ac:dyDescent="0.2">
      <c r="A109" s="610"/>
      <c r="B109" s="611"/>
      <c r="C109" s="611"/>
      <c r="D109" s="611"/>
      <c r="E109" s="611"/>
      <c r="F109" s="611"/>
      <c r="G109" s="611"/>
      <c r="H109" s="611"/>
      <c r="I109" s="611"/>
      <c r="J109" s="612"/>
    </row>
    <row r="110" spans="1:10" ht="12.75" customHeight="1" x14ac:dyDescent="0.2">
      <c r="A110" s="610"/>
      <c r="B110" s="611"/>
      <c r="C110" s="611"/>
      <c r="D110" s="611"/>
      <c r="E110" s="611"/>
      <c r="F110" s="611"/>
      <c r="G110" s="611"/>
      <c r="H110" s="611"/>
      <c r="I110" s="611"/>
      <c r="J110" s="612"/>
    </row>
    <row r="111" spans="1:10" ht="12.75" customHeight="1" x14ac:dyDescent="0.2">
      <c r="A111" s="610"/>
      <c r="B111" s="611"/>
      <c r="C111" s="611"/>
      <c r="D111" s="611"/>
      <c r="E111" s="611"/>
      <c r="F111" s="611"/>
      <c r="G111" s="611"/>
      <c r="H111" s="611"/>
      <c r="I111" s="611"/>
      <c r="J111" s="612"/>
    </row>
    <row r="112" spans="1:10" ht="12.75" customHeight="1" x14ac:dyDescent="0.2">
      <c r="A112" s="610"/>
      <c r="B112" s="611"/>
      <c r="C112" s="611"/>
      <c r="D112" s="611"/>
      <c r="E112" s="611"/>
      <c r="F112" s="611"/>
      <c r="G112" s="611"/>
      <c r="H112" s="611"/>
      <c r="I112" s="611"/>
      <c r="J112" s="612"/>
    </row>
    <row r="113" spans="1:10" ht="12.75" customHeight="1" x14ac:dyDescent="0.2">
      <c r="A113" s="610"/>
      <c r="B113" s="611"/>
      <c r="C113" s="611"/>
      <c r="D113" s="611"/>
      <c r="E113" s="611"/>
      <c r="F113" s="611"/>
      <c r="G113" s="611"/>
      <c r="H113" s="611"/>
      <c r="I113" s="611"/>
      <c r="J113" s="612"/>
    </row>
    <row r="114" spans="1:10" ht="12.75" customHeight="1" x14ac:dyDescent="0.2">
      <c r="A114" s="610"/>
      <c r="B114" s="611"/>
      <c r="C114" s="611"/>
      <c r="D114" s="611"/>
      <c r="E114" s="611"/>
      <c r="F114" s="611"/>
      <c r="G114" s="611"/>
      <c r="H114" s="611"/>
      <c r="I114" s="611"/>
      <c r="J114" s="612"/>
    </row>
    <row r="115" spans="1:10" ht="12.75" customHeight="1" x14ac:dyDescent="0.2">
      <c r="A115" s="610"/>
      <c r="B115" s="611"/>
      <c r="C115" s="611"/>
      <c r="D115" s="611"/>
      <c r="E115" s="611"/>
      <c r="F115" s="611"/>
      <c r="G115" s="611"/>
      <c r="H115" s="611"/>
      <c r="I115" s="611"/>
      <c r="J115" s="612"/>
    </row>
    <row r="116" spans="1:10" ht="12.75" customHeight="1" x14ac:dyDescent="0.2">
      <c r="A116" s="610"/>
      <c r="B116" s="611"/>
      <c r="C116" s="611"/>
      <c r="D116" s="611"/>
      <c r="E116" s="611"/>
      <c r="F116" s="611"/>
      <c r="G116" s="611"/>
      <c r="H116" s="611"/>
      <c r="I116" s="611"/>
      <c r="J116" s="612"/>
    </row>
    <row r="117" spans="1:10" ht="12.75" customHeight="1" x14ac:dyDescent="0.2">
      <c r="A117" s="610"/>
      <c r="B117" s="611"/>
      <c r="C117" s="611"/>
      <c r="D117" s="611"/>
      <c r="E117" s="611"/>
      <c r="F117" s="611"/>
      <c r="G117" s="611"/>
      <c r="H117" s="611"/>
      <c r="I117" s="611"/>
      <c r="J117" s="612"/>
    </row>
    <row r="118" spans="1:10" ht="12.75" customHeight="1" x14ac:dyDescent="0.2">
      <c r="A118" s="610"/>
      <c r="B118" s="611"/>
      <c r="C118" s="611"/>
      <c r="D118" s="611"/>
      <c r="E118" s="611"/>
      <c r="F118" s="611"/>
      <c r="G118" s="611"/>
      <c r="H118" s="611"/>
      <c r="I118" s="611"/>
      <c r="J118" s="612"/>
    </row>
    <row r="119" spans="1:10" ht="12.75" customHeight="1" x14ac:dyDescent="0.2">
      <c r="A119" s="610"/>
      <c r="B119" s="611"/>
      <c r="C119" s="611"/>
      <c r="D119" s="611"/>
      <c r="E119" s="611"/>
      <c r="F119" s="611"/>
      <c r="G119" s="611"/>
      <c r="H119" s="611"/>
      <c r="I119" s="611"/>
      <c r="J119" s="612"/>
    </row>
    <row r="120" spans="1:10" ht="12.75" customHeight="1" x14ac:dyDescent="0.2">
      <c r="A120" s="610"/>
      <c r="B120" s="611"/>
      <c r="C120" s="611"/>
      <c r="D120" s="611"/>
      <c r="E120" s="611"/>
      <c r="F120" s="611"/>
      <c r="G120" s="611"/>
      <c r="H120" s="611"/>
      <c r="I120" s="611"/>
      <c r="J120" s="612"/>
    </row>
    <row r="121" spans="1:10" ht="12.75" customHeight="1" x14ac:dyDescent="0.2">
      <c r="A121" s="610"/>
      <c r="B121" s="611"/>
      <c r="C121" s="611"/>
      <c r="D121" s="611"/>
      <c r="E121" s="611"/>
      <c r="F121" s="611"/>
      <c r="G121" s="611"/>
      <c r="H121" s="611"/>
      <c r="I121" s="611"/>
      <c r="J121" s="612"/>
    </row>
    <row r="122" spans="1:10" ht="12.75" customHeight="1" x14ac:dyDescent="0.2">
      <c r="A122" s="610"/>
      <c r="B122" s="611"/>
      <c r="C122" s="611"/>
      <c r="D122" s="611"/>
      <c r="E122" s="611"/>
      <c r="F122" s="611"/>
      <c r="G122" s="611"/>
      <c r="H122" s="611"/>
      <c r="I122" s="611"/>
      <c r="J122" s="612"/>
    </row>
    <row r="123" spans="1:10" ht="12.75" customHeight="1" x14ac:dyDescent="0.2">
      <c r="A123" s="610"/>
      <c r="B123" s="611"/>
      <c r="C123" s="611"/>
      <c r="D123" s="611"/>
      <c r="E123" s="611"/>
      <c r="F123" s="611"/>
      <c r="G123" s="611"/>
      <c r="H123" s="611"/>
      <c r="I123" s="611"/>
      <c r="J123" s="612"/>
    </row>
    <row r="124" spans="1:10" ht="12.75" customHeight="1" x14ac:dyDescent="0.2">
      <c r="A124" s="610"/>
      <c r="B124" s="611"/>
      <c r="C124" s="611"/>
      <c r="D124" s="611"/>
      <c r="E124" s="611"/>
      <c r="F124" s="611"/>
      <c r="G124" s="611"/>
      <c r="H124" s="611"/>
      <c r="I124" s="611"/>
      <c r="J124" s="612"/>
    </row>
    <row r="125" spans="1:10" ht="12.75" customHeight="1" x14ac:dyDescent="0.2">
      <c r="A125" s="610"/>
      <c r="B125" s="611"/>
      <c r="C125" s="611"/>
      <c r="D125" s="611"/>
      <c r="E125" s="611"/>
      <c r="F125" s="611"/>
      <c r="G125" s="611"/>
      <c r="H125" s="611"/>
      <c r="I125" s="611"/>
      <c r="J125" s="612"/>
    </row>
    <row r="126" spans="1:10" ht="12.75" customHeight="1" x14ac:dyDescent="0.2">
      <c r="A126" s="610"/>
      <c r="B126" s="611"/>
      <c r="C126" s="611"/>
      <c r="D126" s="611"/>
      <c r="E126" s="611"/>
      <c r="F126" s="611"/>
      <c r="G126" s="611"/>
      <c r="H126" s="611"/>
      <c r="I126" s="611"/>
      <c r="J126" s="612"/>
    </row>
    <row r="127" spans="1:10" s="61" customFormat="1" x14ac:dyDescent="0.2">
      <c r="A127" s="55"/>
      <c r="B127" s="56"/>
      <c r="C127" s="57"/>
      <c r="D127" s="58"/>
      <c r="E127" s="58"/>
      <c r="F127" s="58"/>
      <c r="G127" s="58"/>
      <c r="H127" s="59"/>
      <c r="I127" s="57"/>
      <c r="J127" s="60"/>
    </row>
    <row r="128" spans="1:10" s="61" customFormat="1" ht="25.5" customHeight="1" x14ac:dyDescent="0.2">
      <c r="A128" s="602" t="s">
        <v>179</v>
      </c>
      <c r="B128" s="603"/>
      <c r="C128" s="603"/>
      <c r="D128" s="603"/>
      <c r="E128" s="603"/>
      <c r="F128" s="603"/>
      <c r="G128" s="603"/>
      <c r="H128" s="603"/>
      <c r="I128" s="603"/>
      <c r="J128" s="604"/>
    </row>
    <row r="129" spans="1:10" s="61" customFormat="1" ht="12.75" customHeight="1" x14ac:dyDescent="0.2">
      <c r="A129" s="348" t="s">
        <v>178</v>
      </c>
      <c r="B129" s="349"/>
      <c r="C129" s="349"/>
      <c r="D129" s="349"/>
      <c r="E129" s="349"/>
      <c r="F129" s="614"/>
      <c r="G129" s="614"/>
      <c r="H129" s="614"/>
      <c r="I129" s="614"/>
      <c r="J129" s="615"/>
    </row>
    <row r="130" spans="1:10" ht="12.75" customHeight="1" x14ac:dyDescent="0.2">
      <c r="A130" s="593" t="s">
        <v>370</v>
      </c>
      <c r="B130" s="594"/>
      <c r="C130" s="594"/>
      <c r="D130" s="594"/>
      <c r="E130" s="594"/>
      <c r="F130" s="594"/>
      <c r="G130" s="594"/>
      <c r="H130" s="594"/>
      <c r="I130" s="594"/>
      <c r="J130" s="595"/>
    </row>
    <row r="131" spans="1:10" ht="12.75" customHeight="1" x14ac:dyDescent="0.2">
      <c r="A131" s="596"/>
      <c r="B131" s="597"/>
      <c r="C131" s="597"/>
      <c r="D131" s="597"/>
      <c r="E131" s="597"/>
      <c r="F131" s="597"/>
      <c r="G131" s="597"/>
      <c r="H131" s="597"/>
      <c r="I131" s="597"/>
      <c r="J131" s="598"/>
    </row>
    <row r="132" spans="1:10" ht="12.75" customHeight="1" x14ac:dyDescent="0.2">
      <c r="A132" s="596"/>
      <c r="B132" s="597"/>
      <c r="C132" s="597"/>
      <c r="D132" s="597"/>
      <c r="E132" s="597"/>
      <c r="F132" s="597"/>
      <c r="G132" s="597"/>
      <c r="H132" s="597"/>
      <c r="I132" s="597"/>
      <c r="J132" s="598"/>
    </row>
    <row r="133" spans="1:10" ht="15" customHeight="1" x14ac:dyDescent="0.2">
      <c r="A133" s="599"/>
      <c r="B133" s="600"/>
      <c r="C133" s="600"/>
      <c r="D133" s="600"/>
      <c r="E133" s="600"/>
      <c r="F133" s="600"/>
      <c r="G133" s="600"/>
      <c r="H133" s="600"/>
      <c r="I133" s="600"/>
      <c r="J133" s="601"/>
    </row>
    <row r="134" spans="1:10" ht="12.75" customHeight="1" x14ac:dyDescent="0.2">
      <c r="A134" s="610"/>
      <c r="B134" s="611"/>
      <c r="C134" s="611"/>
      <c r="D134" s="611"/>
      <c r="E134" s="611"/>
      <c r="F134" s="611"/>
      <c r="G134" s="611"/>
      <c r="H134" s="611"/>
      <c r="I134" s="611"/>
      <c r="J134" s="612"/>
    </row>
    <row r="135" spans="1:10" ht="12.75" customHeight="1" x14ac:dyDescent="0.2">
      <c r="A135" s="610"/>
      <c r="B135" s="611"/>
      <c r="C135" s="611"/>
      <c r="D135" s="611"/>
      <c r="E135" s="611"/>
      <c r="F135" s="611"/>
      <c r="G135" s="611"/>
      <c r="H135" s="611"/>
      <c r="I135" s="611"/>
      <c r="J135" s="612"/>
    </row>
    <row r="136" spans="1:10" ht="12.75" customHeight="1" x14ac:dyDescent="0.2">
      <c r="A136" s="610"/>
      <c r="B136" s="611"/>
      <c r="C136" s="611"/>
      <c r="D136" s="611"/>
      <c r="E136" s="611"/>
      <c r="F136" s="611"/>
      <c r="G136" s="611"/>
      <c r="H136" s="611"/>
      <c r="I136" s="611"/>
      <c r="J136" s="612"/>
    </row>
    <row r="137" spans="1:10" ht="12.75" customHeight="1" x14ac:dyDescent="0.2">
      <c r="A137" s="610"/>
      <c r="B137" s="611"/>
      <c r="C137" s="611"/>
      <c r="D137" s="611"/>
      <c r="E137" s="611"/>
      <c r="F137" s="611"/>
      <c r="G137" s="611"/>
      <c r="H137" s="611"/>
      <c r="I137" s="611"/>
      <c r="J137" s="612"/>
    </row>
    <row r="138" spans="1:10" ht="12.75" customHeight="1" x14ac:dyDescent="0.2">
      <c r="A138" s="610"/>
      <c r="B138" s="611"/>
      <c r="C138" s="611"/>
      <c r="D138" s="611"/>
      <c r="E138" s="611"/>
      <c r="F138" s="611"/>
      <c r="G138" s="611"/>
      <c r="H138" s="611"/>
      <c r="I138" s="611"/>
      <c r="J138" s="612"/>
    </row>
    <row r="139" spans="1:10" ht="12.75" customHeight="1" x14ac:dyDescent="0.2">
      <c r="A139" s="610"/>
      <c r="B139" s="611"/>
      <c r="C139" s="611"/>
      <c r="D139" s="611"/>
      <c r="E139" s="611"/>
      <c r="F139" s="611"/>
      <c r="G139" s="611"/>
      <c r="H139" s="611"/>
      <c r="I139" s="611"/>
      <c r="J139" s="612"/>
    </row>
    <row r="140" spans="1:10" ht="12.75" customHeight="1" x14ac:dyDescent="0.2">
      <c r="A140" s="610"/>
      <c r="B140" s="611"/>
      <c r="C140" s="611"/>
      <c r="D140" s="611"/>
      <c r="E140" s="611"/>
      <c r="F140" s="611"/>
      <c r="G140" s="611"/>
      <c r="H140" s="611"/>
      <c r="I140" s="611"/>
      <c r="J140" s="612"/>
    </row>
    <row r="141" spans="1:10" ht="12.75" customHeight="1" x14ac:dyDescent="0.2">
      <c r="A141" s="610"/>
      <c r="B141" s="611"/>
      <c r="C141" s="611"/>
      <c r="D141" s="611"/>
      <c r="E141" s="611"/>
      <c r="F141" s="611"/>
      <c r="G141" s="611"/>
      <c r="H141" s="611"/>
      <c r="I141" s="611"/>
      <c r="J141" s="612"/>
    </row>
    <row r="142" spans="1:10" ht="12.75" customHeight="1" x14ac:dyDescent="0.2">
      <c r="A142" s="610"/>
      <c r="B142" s="611"/>
      <c r="C142" s="611"/>
      <c r="D142" s="611"/>
      <c r="E142" s="611"/>
      <c r="F142" s="611"/>
      <c r="G142" s="611"/>
      <c r="H142" s="611"/>
      <c r="I142" s="611"/>
      <c r="J142" s="612"/>
    </row>
    <row r="143" spans="1:10" ht="12.75" customHeight="1" x14ac:dyDescent="0.2">
      <c r="A143" s="610"/>
      <c r="B143" s="611"/>
      <c r="C143" s="611"/>
      <c r="D143" s="611"/>
      <c r="E143" s="611"/>
      <c r="F143" s="611"/>
      <c r="G143" s="611"/>
      <c r="H143" s="611"/>
      <c r="I143" s="611"/>
      <c r="J143" s="612"/>
    </row>
    <row r="144" spans="1:10" ht="12.75" customHeight="1" x14ac:dyDescent="0.2">
      <c r="A144" s="610"/>
      <c r="B144" s="611"/>
      <c r="C144" s="611"/>
      <c r="D144" s="611"/>
      <c r="E144" s="611"/>
      <c r="F144" s="611"/>
      <c r="G144" s="611"/>
      <c r="H144" s="611"/>
      <c r="I144" s="611"/>
      <c r="J144" s="612"/>
    </row>
    <row r="145" spans="1:10" ht="12.75" customHeight="1" x14ac:dyDescent="0.2">
      <c r="A145" s="610"/>
      <c r="B145" s="611"/>
      <c r="C145" s="611"/>
      <c r="D145" s="611"/>
      <c r="E145" s="611"/>
      <c r="F145" s="611"/>
      <c r="G145" s="611"/>
      <c r="H145" s="611"/>
      <c r="I145" s="611"/>
      <c r="J145" s="612"/>
    </row>
    <row r="146" spans="1:10" ht="12.75" customHeight="1" x14ac:dyDescent="0.2">
      <c r="A146" s="610"/>
      <c r="B146" s="611"/>
      <c r="C146" s="611"/>
      <c r="D146" s="611"/>
      <c r="E146" s="611"/>
      <c r="F146" s="611"/>
      <c r="G146" s="611"/>
      <c r="H146" s="611"/>
      <c r="I146" s="611"/>
      <c r="J146" s="612"/>
    </row>
    <row r="147" spans="1:10" ht="12.75" customHeight="1" x14ac:dyDescent="0.2">
      <c r="A147" s="610"/>
      <c r="B147" s="611"/>
      <c r="C147" s="611"/>
      <c r="D147" s="611"/>
      <c r="E147" s="611"/>
      <c r="F147" s="611"/>
      <c r="G147" s="611"/>
      <c r="H147" s="611"/>
      <c r="I147" s="611"/>
      <c r="J147" s="612"/>
    </row>
    <row r="148" spans="1:10" ht="12.75" customHeight="1" x14ac:dyDescent="0.2">
      <c r="A148" s="610"/>
      <c r="B148" s="611"/>
      <c r="C148" s="611"/>
      <c r="D148" s="611"/>
      <c r="E148" s="611"/>
      <c r="F148" s="611"/>
      <c r="G148" s="611"/>
      <c r="H148" s="611"/>
      <c r="I148" s="611"/>
      <c r="J148" s="612"/>
    </row>
    <row r="149" spans="1:10" ht="12.75" customHeight="1" x14ac:dyDescent="0.2">
      <c r="A149" s="610"/>
      <c r="B149" s="611"/>
      <c r="C149" s="611"/>
      <c r="D149" s="611"/>
      <c r="E149" s="611"/>
      <c r="F149" s="611"/>
      <c r="G149" s="611"/>
      <c r="H149" s="611"/>
      <c r="I149" s="611"/>
      <c r="J149" s="612"/>
    </row>
    <row r="150" spans="1:10" ht="12.75" customHeight="1" x14ac:dyDescent="0.2">
      <c r="A150" s="610"/>
      <c r="B150" s="611"/>
      <c r="C150" s="611"/>
      <c r="D150" s="611"/>
      <c r="E150" s="611"/>
      <c r="F150" s="611"/>
      <c r="G150" s="611"/>
      <c r="H150" s="611"/>
      <c r="I150" s="611"/>
      <c r="J150" s="612"/>
    </row>
    <row r="151" spans="1:10" ht="12.75" customHeight="1" x14ac:dyDescent="0.2">
      <c r="A151" s="610"/>
      <c r="B151" s="611"/>
      <c r="C151" s="611"/>
      <c r="D151" s="611"/>
      <c r="E151" s="611"/>
      <c r="F151" s="611"/>
      <c r="G151" s="611"/>
      <c r="H151" s="611"/>
      <c r="I151" s="611"/>
      <c r="J151" s="612"/>
    </row>
    <row r="152" spans="1:10" ht="12.75" customHeight="1" x14ac:dyDescent="0.2">
      <c r="A152" s="610"/>
      <c r="B152" s="611"/>
      <c r="C152" s="611"/>
      <c r="D152" s="611"/>
      <c r="E152" s="611"/>
      <c r="F152" s="611"/>
      <c r="G152" s="611"/>
      <c r="H152" s="611"/>
      <c r="I152" s="611"/>
      <c r="J152" s="612"/>
    </row>
    <row r="153" spans="1:10" ht="12.75" customHeight="1" x14ac:dyDescent="0.2">
      <c r="A153" s="610"/>
      <c r="B153" s="611"/>
      <c r="C153" s="611"/>
      <c r="D153" s="611"/>
      <c r="E153" s="611"/>
      <c r="F153" s="611"/>
      <c r="G153" s="611"/>
      <c r="H153" s="611"/>
      <c r="I153" s="611"/>
      <c r="J153" s="612"/>
    </row>
    <row r="154" spans="1:10" ht="12.75" customHeight="1" x14ac:dyDescent="0.2">
      <c r="A154" s="610"/>
      <c r="B154" s="611"/>
      <c r="C154" s="611"/>
      <c r="D154" s="611"/>
      <c r="E154" s="611"/>
      <c r="F154" s="611"/>
      <c r="G154" s="611"/>
      <c r="H154" s="611"/>
      <c r="I154" s="611"/>
      <c r="J154" s="612"/>
    </row>
    <row r="155" spans="1:10" ht="12.75" customHeight="1" x14ac:dyDescent="0.2">
      <c r="A155" s="610"/>
      <c r="B155" s="611"/>
      <c r="C155" s="611"/>
      <c r="D155" s="611"/>
      <c r="E155" s="611"/>
      <c r="F155" s="611"/>
      <c r="G155" s="611"/>
      <c r="H155" s="611"/>
      <c r="I155" s="611"/>
      <c r="J155" s="612"/>
    </row>
    <row r="156" spans="1:10" ht="12.75" customHeight="1" x14ac:dyDescent="0.2">
      <c r="A156" s="610"/>
      <c r="B156" s="611"/>
      <c r="C156" s="611"/>
      <c r="D156" s="611"/>
      <c r="E156" s="611"/>
      <c r="F156" s="611"/>
      <c r="G156" s="611"/>
      <c r="H156" s="611"/>
      <c r="I156" s="611"/>
      <c r="J156" s="612"/>
    </row>
    <row r="157" spans="1:10" ht="12.75" customHeight="1" x14ac:dyDescent="0.2">
      <c r="A157" s="610"/>
      <c r="B157" s="611"/>
      <c r="C157" s="611"/>
      <c r="D157" s="611"/>
      <c r="E157" s="611"/>
      <c r="F157" s="611"/>
      <c r="G157" s="611"/>
      <c r="H157" s="611"/>
      <c r="I157" s="611"/>
      <c r="J157" s="612"/>
    </row>
    <row r="158" spans="1:10" ht="12.75" customHeight="1" x14ac:dyDescent="0.2">
      <c r="A158" s="610"/>
      <c r="B158" s="611"/>
      <c r="C158" s="611"/>
      <c r="D158" s="611"/>
      <c r="E158" s="611"/>
      <c r="F158" s="611"/>
      <c r="G158" s="611"/>
      <c r="H158" s="611"/>
      <c r="I158" s="611"/>
      <c r="J158" s="612"/>
    </row>
    <row r="159" spans="1:10" ht="12.75" customHeight="1" x14ac:dyDescent="0.2">
      <c r="A159" s="610"/>
      <c r="B159" s="611"/>
      <c r="C159" s="611"/>
      <c r="D159" s="611"/>
      <c r="E159" s="611"/>
      <c r="F159" s="611"/>
      <c r="G159" s="611"/>
      <c r="H159" s="611"/>
      <c r="I159" s="611"/>
      <c r="J159" s="612"/>
    </row>
    <row r="160" spans="1:10" ht="12.75" customHeight="1" x14ac:dyDescent="0.2">
      <c r="A160" s="610"/>
      <c r="B160" s="611"/>
      <c r="C160" s="611"/>
      <c r="D160" s="611"/>
      <c r="E160" s="611"/>
      <c r="F160" s="611"/>
      <c r="G160" s="611"/>
      <c r="H160" s="611"/>
      <c r="I160" s="611"/>
      <c r="J160" s="612"/>
    </row>
    <row r="161" spans="1:10" ht="12.75" customHeight="1" x14ac:dyDescent="0.2">
      <c r="A161" s="610"/>
      <c r="B161" s="611"/>
      <c r="C161" s="611"/>
      <c r="D161" s="611"/>
      <c r="E161" s="611"/>
      <c r="F161" s="611"/>
      <c r="G161" s="611"/>
      <c r="H161" s="611"/>
      <c r="I161" s="611"/>
      <c r="J161" s="612"/>
    </row>
    <row r="162" spans="1:10" ht="12.75" customHeight="1" x14ac:dyDescent="0.2">
      <c r="A162" s="610"/>
      <c r="B162" s="611"/>
      <c r="C162" s="611"/>
      <c r="D162" s="611"/>
      <c r="E162" s="611"/>
      <c r="F162" s="611"/>
      <c r="G162" s="611"/>
      <c r="H162" s="611"/>
      <c r="I162" s="611"/>
      <c r="J162" s="612"/>
    </row>
    <row r="163" spans="1:10" ht="12.75" customHeight="1" x14ac:dyDescent="0.2">
      <c r="A163" s="610"/>
      <c r="B163" s="611"/>
      <c r="C163" s="611"/>
      <c r="D163" s="611"/>
      <c r="E163" s="611"/>
      <c r="F163" s="611"/>
      <c r="G163" s="611"/>
      <c r="H163" s="611"/>
      <c r="I163" s="611"/>
      <c r="J163" s="612"/>
    </row>
    <row r="164" spans="1:10" ht="12.75" customHeight="1" x14ac:dyDescent="0.2">
      <c r="A164" s="610"/>
      <c r="B164" s="611"/>
      <c r="C164" s="611"/>
      <c r="D164" s="611"/>
      <c r="E164" s="611"/>
      <c r="F164" s="611"/>
      <c r="G164" s="611"/>
      <c r="H164" s="611"/>
      <c r="I164" s="611"/>
      <c r="J164" s="612"/>
    </row>
    <row r="165" spans="1:10" ht="12.75" customHeight="1" x14ac:dyDescent="0.2">
      <c r="A165" s="610"/>
      <c r="B165" s="611"/>
      <c r="C165" s="611"/>
      <c r="D165" s="611"/>
      <c r="E165" s="611"/>
      <c r="F165" s="611"/>
      <c r="G165" s="611"/>
      <c r="H165" s="611"/>
      <c r="I165" s="611"/>
      <c r="J165" s="612"/>
    </row>
    <row r="166" spans="1:10" ht="12.75" customHeight="1" x14ac:dyDescent="0.2">
      <c r="A166" s="610"/>
      <c r="B166" s="611"/>
      <c r="C166" s="611"/>
      <c r="D166" s="611"/>
      <c r="E166" s="611"/>
      <c r="F166" s="611"/>
      <c r="G166" s="611"/>
      <c r="H166" s="611"/>
      <c r="I166" s="611"/>
      <c r="J166" s="612"/>
    </row>
    <row r="167" spans="1:10" ht="12.75" customHeight="1" x14ac:dyDescent="0.2">
      <c r="A167" s="610"/>
      <c r="B167" s="611"/>
      <c r="C167" s="611"/>
      <c r="D167" s="611"/>
      <c r="E167" s="611"/>
      <c r="F167" s="611"/>
      <c r="G167" s="611"/>
      <c r="H167" s="611"/>
      <c r="I167" s="611"/>
      <c r="J167" s="612"/>
    </row>
    <row r="168" spans="1:10" ht="12.75" customHeight="1" x14ac:dyDescent="0.2">
      <c r="A168" s="610"/>
      <c r="B168" s="611"/>
      <c r="C168" s="611"/>
      <c r="D168" s="611"/>
      <c r="E168" s="611"/>
      <c r="F168" s="611"/>
      <c r="G168" s="611"/>
      <c r="H168" s="611"/>
      <c r="I168" s="611"/>
      <c r="J168" s="612"/>
    </row>
    <row r="169" spans="1:10" s="61" customFormat="1" x14ac:dyDescent="0.2">
      <c r="A169" s="55"/>
      <c r="B169" s="56"/>
      <c r="C169" s="57"/>
      <c r="D169" s="58"/>
      <c r="E169" s="58"/>
      <c r="F169" s="58"/>
      <c r="G169" s="58"/>
      <c r="H169" s="59"/>
      <c r="I169" s="57"/>
      <c r="J169" s="60"/>
    </row>
    <row r="170" spans="1:10" s="61" customFormat="1" ht="25.5" customHeight="1" x14ac:dyDescent="0.2">
      <c r="A170" s="602" t="s">
        <v>181</v>
      </c>
      <c r="B170" s="603"/>
      <c r="C170" s="603"/>
      <c r="D170" s="603"/>
      <c r="E170" s="603"/>
      <c r="F170" s="603"/>
      <c r="G170" s="603"/>
      <c r="H170" s="603"/>
      <c r="I170" s="603"/>
      <c r="J170" s="604"/>
    </row>
    <row r="171" spans="1:10" s="61" customFormat="1" ht="12.75" customHeight="1" x14ac:dyDescent="0.2">
      <c r="A171" s="348" t="s">
        <v>178</v>
      </c>
      <c r="B171" s="349"/>
      <c r="C171" s="349"/>
      <c r="D171" s="349"/>
      <c r="E171" s="349"/>
      <c r="F171" s="614"/>
      <c r="G171" s="614"/>
      <c r="H171" s="614"/>
      <c r="I171" s="614"/>
      <c r="J171" s="615"/>
    </row>
    <row r="172" spans="1:10" ht="12.75" customHeight="1" x14ac:dyDescent="0.2">
      <c r="A172" s="593" t="s">
        <v>370</v>
      </c>
      <c r="B172" s="594"/>
      <c r="C172" s="594"/>
      <c r="D172" s="594"/>
      <c r="E172" s="594"/>
      <c r="F172" s="594"/>
      <c r="G172" s="594"/>
      <c r="H172" s="594"/>
      <c r="I172" s="594"/>
      <c r="J172" s="595"/>
    </row>
    <row r="173" spans="1:10" ht="12.75" customHeight="1" x14ac:dyDescent="0.2">
      <c r="A173" s="596"/>
      <c r="B173" s="597"/>
      <c r="C173" s="597"/>
      <c r="D173" s="597"/>
      <c r="E173" s="597"/>
      <c r="F173" s="597"/>
      <c r="G173" s="597"/>
      <c r="H173" s="597"/>
      <c r="I173" s="597"/>
      <c r="J173" s="598"/>
    </row>
    <row r="174" spans="1:10" ht="12.75" customHeight="1" x14ac:dyDescent="0.2">
      <c r="A174" s="596"/>
      <c r="B174" s="597"/>
      <c r="C174" s="597"/>
      <c r="D174" s="597"/>
      <c r="E174" s="597"/>
      <c r="F174" s="597"/>
      <c r="G174" s="597"/>
      <c r="H174" s="597"/>
      <c r="I174" s="597"/>
      <c r="J174" s="598"/>
    </row>
    <row r="175" spans="1:10" ht="15" customHeight="1" x14ac:dyDescent="0.2">
      <c r="A175" s="599"/>
      <c r="B175" s="600"/>
      <c r="C175" s="600"/>
      <c r="D175" s="600"/>
      <c r="E175" s="600"/>
      <c r="F175" s="600"/>
      <c r="G175" s="600"/>
      <c r="H175" s="600"/>
      <c r="I175" s="600"/>
      <c r="J175" s="601"/>
    </row>
    <row r="176" spans="1:10" ht="12.75" customHeight="1" x14ac:dyDescent="0.2">
      <c r="A176" s="610"/>
      <c r="B176" s="611"/>
      <c r="C176" s="611"/>
      <c r="D176" s="611"/>
      <c r="E176" s="611"/>
      <c r="F176" s="611"/>
      <c r="G176" s="611"/>
      <c r="H176" s="611"/>
      <c r="I176" s="611"/>
      <c r="J176" s="612"/>
    </row>
    <row r="177" spans="1:10" ht="12.75" customHeight="1" x14ac:dyDescent="0.2">
      <c r="A177" s="610"/>
      <c r="B177" s="611"/>
      <c r="C177" s="611"/>
      <c r="D177" s="611"/>
      <c r="E177" s="611"/>
      <c r="F177" s="611"/>
      <c r="G177" s="611"/>
      <c r="H177" s="611"/>
      <c r="I177" s="611"/>
      <c r="J177" s="612"/>
    </row>
    <row r="178" spans="1:10" ht="12.75" customHeight="1" x14ac:dyDescent="0.2">
      <c r="A178" s="610"/>
      <c r="B178" s="611"/>
      <c r="C178" s="611"/>
      <c r="D178" s="611"/>
      <c r="E178" s="611"/>
      <c r="F178" s="611"/>
      <c r="G178" s="611"/>
      <c r="H178" s="611"/>
      <c r="I178" s="611"/>
      <c r="J178" s="612"/>
    </row>
    <row r="179" spans="1:10" ht="12.75" customHeight="1" x14ac:dyDescent="0.2">
      <c r="A179" s="610"/>
      <c r="B179" s="611"/>
      <c r="C179" s="611"/>
      <c r="D179" s="611"/>
      <c r="E179" s="611"/>
      <c r="F179" s="611"/>
      <c r="G179" s="611"/>
      <c r="H179" s="611"/>
      <c r="I179" s="611"/>
      <c r="J179" s="612"/>
    </row>
    <row r="180" spans="1:10" ht="12.75" customHeight="1" x14ac:dyDescent="0.2">
      <c r="A180" s="610"/>
      <c r="B180" s="611"/>
      <c r="C180" s="611"/>
      <c r="D180" s="611"/>
      <c r="E180" s="611"/>
      <c r="F180" s="611"/>
      <c r="G180" s="611"/>
      <c r="H180" s="611"/>
      <c r="I180" s="611"/>
      <c r="J180" s="612"/>
    </row>
    <row r="181" spans="1:10" ht="12.75" customHeight="1" x14ac:dyDescent="0.2">
      <c r="A181" s="610"/>
      <c r="B181" s="611"/>
      <c r="C181" s="611"/>
      <c r="D181" s="611"/>
      <c r="E181" s="611"/>
      <c r="F181" s="611"/>
      <c r="G181" s="611"/>
      <c r="H181" s="611"/>
      <c r="I181" s="611"/>
      <c r="J181" s="612"/>
    </row>
    <row r="182" spans="1:10" ht="12.75" customHeight="1" x14ac:dyDescent="0.2">
      <c r="A182" s="610"/>
      <c r="B182" s="611"/>
      <c r="C182" s="611"/>
      <c r="D182" s="611"/>
      <c r="E182" s="611"/>
      <c r="F182" s="611"/>
      <c r="G182" s="611"/>
      <c r="H182" s="611"/>
      <c r="I182" s="611"/>
      <c r="J182" s="612"/>
    </row>
    <row r="183" spans="1:10" ht="12.75" customHeight="1" x14ac:dyDescent="0.2">
      <c r="A183" s="610"/>
      <c r="B183" s="611"/>
      <c r="C183" s="611"/>
      <c r="D183" s="611"/>
      <c r="E183" s="611"/>
      <c r="F183" s="611"/>
      <c r="G183" s="611"/>
      <c r="H183" s="611"/>
      <c r="I183" s="611"/>
      <c r="J183" s="612"/>
    </row>
    <row r="184" spans="1:10" ht="12.75" customHeight="1" x14ac:dyDescent="0.2">
      <c r="A184" s="610"/>
      <c r="B184" s="611"/>
      <c r="C184" s="611"/>
      <c r="D184" s="611"/>
      <c r="E184" s="611"/>
      <c r="F184" s="611"/>
      <c r="G184" s="611"/>
      <c r="H184" s="611"/>
      <c r="I184" s="611"/>
      <c r="J184" s="612"/>
    </row>
    <row r="185" spans="1:10" ht="12.75" customHeight="1" x14ac:dyDescent="0.2">
      <c r="A185" s="610"/>
      <c r="B185" s="611"/>
      <c r="C185" s="611"/>
      <c r="D185" s="611"/>
      <c r="E185" s="611"/>
      <c r="F185" s="611"/>
      <c r="G185" s="611"/>
      <c r="H185" s="611"/>
      <c r="I185" s="611"/>
      <c r="J185" s="612"/>
    </row>
    <row r="186" spans="1:10" ht="12.75" customHeight="1" x14ac:dyDescent="0.2">
      <c r="A186" s="610"/>
      <c r="B186" s="611"/>
      <c r="C186" s="611"/>
      <c r="D186" s="611"/>
      <c r="E186" s="611"/>
      <c r="F186" s="611"/>
      <c r="G186" s="611"/>
      <c r="H186" s="611"/>
      <c r="I186" s="611"/>
      <c r="J186" s="612"/>
    </row>
    <row r="187" spans="1:10" ht="12.75" customHeight="1" x14ac:dyDescent="0.2">
      <c r="A187" s="610"/>
      <c r="B187" s="611"/>
      <c r="C187" s="611"/>
      <c r="D187" s="611"/>
      <c r="E187" s="611"/>
      <c r="F187" s="611"/>
      <c r="G187" s="611"/>
      <c r="H187" s="611"/>
      <c r="I187" s="611"/>
      <c r="J187" s="612"/>
    </row>
    <row r="188" spans="1:10" ht="12.75" customHeight="1" x14ac:dyDescent="0.2">
      <c r="A188" s="610"/>
      <c r="B188" s="611"/>
      <c r="C188" s="611"/>
      <c r="D188" s="611"/>
      <c r="E188" s="611"/>
      <c r="F188" s="611"/>
      <c r="G188" s="611"/>
      <c r="H188" s="611"/>
      <c r="I188" s="611"/>
      <c r="J188" s="612"/>
    </row>
    <row r="189" spans="1:10" ht="12.75" customHeight="1" x14ac:dyDescent="0.2">
      <c r="A189" s="610"/>
      <c r="B189" s="611"/>
      <c r="C189" s="611"/>
      <c r="D189" s="611"/>
      <c r="E189" s="611"/>
      <c r="F189" s="611"/>
      <c r="G189" s="611"/>
      <c r="H189" s="611"/>
      <c r="I189" s="611"/>
      <c r="J189" s="612"/>
    </row>
    <row r="190" spans="1:10" ht="12.75" customHeight="1" x14ac:dyDescent="0.2">
      <c r="A190" s="610"/>
      <c r="B190" s="611"/>
      <c r="C190" s="611"/>
      <c r="D190" s="611"/>
      <c r="E190" s="611"/>
      <c r="F190" s="611"/>
      <c r="G190" s="611"/>
      <c r="H190" s="611"/>
      <c r="I190" s="611"/>
      <c r="J190" s="612"/>
    </row>
    <row r="191" spans="1:10" ht="12.75" customHeight="1" x14ac:dyDescent="0.2">
      <c r="A191" s="610"/>
      <c r="B191" s="611"/>
      <c r="C191" s="611"/>
      <c r="D191" s="611"/>
      <c r="E191" s="611"/>
      <c r="F191" s="611"/>
      <c r="G191" s="611"/>
      <c r="H191" s="611"/>
      <c r="I191" s="611"/>
      <c r="J191" s="612"/>
    </row>
    <row r="192" spans="1:10" ht="12.75" customHeight="1" x14ac:dyDescent="0.2">
      <c r="A192" s="610"/>
      <c r="B192" s="611"/>
      <c r="C192" s="611"/>
      <c r="D192" s="611"/>
      <c r="E192" s="611"/>
      <c r="F192" s="611"/>
      <c r="G192" s="611"/>
      <c r="H192" s="611"/>
      <c r="I192" s="611"/>
      <c r="J192" s="612"/>
    </row>
    <row r="193" spans="1:10" ht="12.75" customHeight="1" x14ac:dyDescent="0.2">
      <c r="A193" s="610"/>
      <c r="B193" s="611"/>
      <c r="C193" s="611"/>
      <c r="D193" s="611"/>
      <c r="E193" s="611"/>
      <c r="F193" s="611"/>
      <c r="G193" s="611"/>
      <c r="H193" s="611"/>
      <c r="I193" s="611"/>
      <c r="J193" s="612"/>
    </row>
    <row r="194" spans="1:10" ht="12.75" customHeight="1" x14ac:dyDescent="0.2">
      <c r="A194" s="610"/>
      <c r="B194" s="611"/>
      <c r="C194" s="611"/>
      <c r="D194" s="611"/>
      <c r="E194" s="611"/>
      <c r="F194" s="611"/>
      <c r="G194" s="611"/>
      <c r="H194" s="611"/>
      <c r="I194" s="611"/>
      <c r="J194" s="612"/>
    </row>
    <row r="195" spans="1:10" ht="12.75" customHeight="1" x14ac:dyDescent="0.2">
      <c r="A195" s="610"/>
      <c r="B195" s="611"/>
      <c r="C195" s="611"/>
      <c r="D195" s="611"/>
      <c r="E195" s="611"/>
      <c r="F195" s="611"/>
      <c r="G195" s="611"/>
      <c r="H195" s="611"/>
      <c r="I195" s="611"/>
      <c r="J195" s="612"/>
    </row>
    <row r="196" spans="1:10" ht="12.75" customHeight="1" x14ac:dyDescent="0.2">
      <c r="A196" s="610"/>
      <c r="B196" s="611"/>
      <c r="C196" s="611"/>
      <c r="D196" s="611"/>
      <c r="E196" s="611"/>
      <c r="F196" s="611"/>
      <c r="G196" s="611"/>
      <c r="H196" s="611"/>
      <c r="I196" s="611"/>
      <c r="J196" s="612"/>
    </row>
    <row r="197" spans="1:10" ht="12.75" customHeight="1" x14ac:dyDescent="0.2">
      <c r="A197" s="610"/>
      <c r="B197" s="611"/>
      <c r="C197" s="611"/>
      <c r="D197" s="611"/>
      <c r="E197" s="611"/>
      <c r="F197" s="611"/>
      <c r="G197" s="611"/>
      <c r="H197" s="611"/>
      <c r="I197" s="611"/>
      <c r="J197" s="612"/>
    </row>
    <row r="198" spans="1:10" ht="12.75" customHeight="1" x14ac:dyDescent="0.2">
      <c r="A198" s="610"/>
      <c r="B198" s="611"/>
      <c r="C198" s="611"/>
      <c r="D198" s="611"/>
      <c r="E198" s="611"/>
      <c r="F198" s="611"/>
      <c r="G198" s="611"/>
      <c r="H198" s="611"/>
      <c r="I198" s="611"/>
      <c r="J198" s="612"/>
    </row>
    <row r="199" spans="1:10" ht="12.75" customHeight="1" x14ac:dyDescent="0.2">
      <c r="A199" s="610"/>
      <c r="B199" s="611"/>
      <c r="C199" s="611"/>
      <c r="D199" s="611"/>
      <c r="E199" s="611"/>
      <c r="F199" s="611"/>
      <c r="G199" s="611"/>
      <c r="H199" s="611"/>
      <c r="I199" s="611"/>
      <c r="J199" s="612"/>
    </row>
    <row r="200" spans="1:10" ht="12.75" customHeight="1" x14ac:dyDescent="0.2">
      <c r="A200" s="610"/>
      <c r="B200" s="611"/>
      <c r="C200" s="611"/>
      <c r="D200" s="611"/>
      <c r="E200" s="611"/>
      <c r="F200" s="611"/>
      <c r="G200" s="611"/>
      <c r="H200" s="611"/>
      <c r="I200" s="611"/>
      <c r="J200" s="612"/>
    </row>
    <row r="201" spans="1:10" ht="12.75" customHeight="1" x14ac:dyDescent="0.2">
      <c r="A201" s="610"/>
      <c r="B201" s="611"/>
      <c r="C201" s="611"/>
      <c r="D201" s="611"/>
      <c r="E201" s="611"/>
      <c r="F201" s="611"/>
      <c r="G201" s="611"/>
      <c r="H201" s="611"/>
      <c r="I201" s="611"/>
      <c r="J201" s="612"/>
    </row>
    <row r="202" spans="1:10" ht="12.75" customHeight="1" x14ac:dyDescent="0.2">
      <c r="A202" s="610"/>
      <c r="B202" s="611"/>
      <c r="C202" s="611"/>
      <c r="D202" s="611"/>
      <c r="E202" s="611"/>
      <c r="F202" s="611"/>
      <c r="G202" s="611"/>
      <c r="H202" s="611"/>
      <c r="I202" s="611"/>
      <c r="J202" s="612"/>
    </row>
    <row r="203" spans="1:10" ht="12.75" customHeight="1" x14ac:dyDescent="0.2">
      <c r="A203" s="610"/>
      <c r="B203" s="611"/>
      <c r="C203" s="611"/>
      <c r="D203" s="611"/>
      <c r="E203" s="611"/>
      <c r="F203" s="611"/>
      <c r="G203" s="611"/>
      <c r="H203" s="611"/>
      <c r="I203" s="611"/>
      <c r="J203" s="612"/>
    </row>
    <row r="204" spans="1:10" ht="12.75" customHeight="1" x14ac:dyDescent="0.2">
      <c r="A204" s="610"/>
      <c r="B204" s="611"/>
      <c r="C204" s="611"/>
      <c r="D204" s="611"/>
      <c r="E204" s="611"/>
      <c r="F204" s="611"/>
      <c r="G204" s="611"/>
      <c r="H204" s="611"/>
      <c r="I204" s="611"/>
      <c r="J204" s="612"/>
    </row>
    <row r="205" spans="1:10" ht="12.75" customHeight="1" x14ac:dyDescent="0.2">
      <c r="A205" s="610"/>
      <c r="B205" s="611"/>
      <c r="C205" s="611"/>
      <c r="D205" s="611"/>
      <c r="E205" s="611"/>
      <c r="F205" s="611"/>
      <c r="G205" s="611"/>
      <c r="H205" s="611"/>
      <c r="I205" s="611"/>
      <c r="J205" s="612"/>
    </row>
    <row r="206" spans="1:10" ht="12.75" customHeight="1" x14ac:dyDescent="0.2">
      <c r="A206" s="610"/>
      <c r="B206" s="611"/>
      <c r="C206" s="611"/>
      <c r="D206" s="611"/>
      <c r="E206" s="611"/>
      <c r="F206" s="611"/>
      <c r="G206" s="611"/>
      <c r="H206" s="611"/>
      <c r="I206" s="611"/>
      <c r="J206" s="612"/>
    </row>
    <row r="207" spans="1:10" ht="12.75" customHeight="1" x14ac:dyDescent="0.2">
      <c r="A207" s="610"/>
      <c r="B207" s="611"/>
      <c r="C207" s="611"/>
      <c r="D207" s="611"/>
      <c r="E207" s="611"/>
      <c r="F207" s="611"/>
      <c r="G207" s="611"/>
      <c r="H207" s="611"/>
      <c r="I207" s="611"/>
      <c r="J207" s="612"/>
    </row>
    <row r="208" spans="1:10" ht="12.75" customHeight="1" x14ac:dyDescent="0.2">
      <c r="A208" s="610"/>
      <c r="B208" s="611"/>
      <c r="C208" s="611"/>
      <c r="D208" s="611"/>
      <c r="E208" s="611"/>
      <c r="F208" s="611"/>
      <c r="G208" s="611"/>
      <c r="H208" s="611"/>
      <c r="I208" s="611"/>
      <c r="J208" s="612"/>
    </row>
    <row r="209" spans="1:10" ht="12.75" customHeight="1" x14ac:dyDescent="0.2">
      <c r="A209" s="610"/>
      <c r="B209" s="611"/>
      <c r="C209" s="611"/>
      <c r="D209" s="611"/>
      <c r="E209" s="611"/>
      <c r="F209" s="611"/>
      <c r="G209" s="611"/>
      <c r="H209" s="611"/>
      <c r="I209" s="611"/>
      <c r="J209" s="612"/>
    </row>
    <row r="210" spans="1:10" ht="12.75" customHeight="1" x14ac:dyDescent="0.2">
      <c r="A210" s="610"/>
      <c r="B210" s="611"/>
      <c r="C210" s="611"/>
      <c r="D210" s="611"/>
      <c r="E210" s="611"/>
      <c r="F210" s="611"/>
      <c r="G210" s="611"/>
      <c r="H210" s="611"/>
      <c r="I210" s="611"/>
      <c r="J210" s="612"/>
    </row>
    <row r="211" spans="1:10" s="61" customFormat="1" x14ac:dyDescent="0.2">
      <c r="A211" s="55"/>
      <c r="B211" s="56"/>
      <c r="C211" s="57"/>
      <c r="D211" s="58"/>
      <c r="E211" s="58"/>
      <c r="F211" s="58"/>
      <c r="G211" s="58"/>
      <c r="H211" s="59"/>
      <c r="I211" s="57"/>
      <c r="J211" s="60"/>
    </row>
    <row r="212" spans="1:10" s="61" customFormat="1" ht="25.5" customHeight="1" x14ac:dyDescent="0.2">
      <c r="A212" s="602" t="s">
        <v>182</v>
      </c>
      <c r="B212" s="603"/>
      <c r="C212" s="603"/>
      <c r="D212" s="603"/>
      <c r="E212" s="603"/>
      <c r="F212" s="603"/>
      <c r="G212" s="603"/>
      <c r="H212" s="603"/>
      <c r="I212" s="603"/>
      <c r="J212" s="604"/>
    </row>
    <row r="213" spans="1:10" s="61" customFormat="1" ht="12.75" customHeight="1" x14ac:dyDescent="0.2">
      <c r="A213" s="348" t="s">
        <v>178</v>
      </c>
      <c r="B213" s="349"/>
      <c r="C213" s="349"/>
      <c r="D213" s="349"/>
      <c r="E213" s="349"/>
      <c r="F213" s="614"/>
      <c r="G213" s="614"/>
      <c r="H213" s="614"/>
      <c r="I213" s="614"/>
      <c r="J213" s="615"/>
    </row>
    <row r="214" spans="1:10" ht="12.75" customHeight="1" x14ac:dyDescent="0.2">
      <c r="A214" s="593" t="s">
        <v>370</v>
      </c>
      <c r="B214" s="594"/>
      <c r="C214" s="594"/>
      <c r="D214" s="594"/>
      <c r="E214" s="594"/>
      <c r="F214" s="594"/>
      <c r="G214" s="594"/>
      <c r="H214" s="594"/>
      <c r="I214" s="594"/>
      <c r="J214" s="595"/>
    </row>
    <row r="215" spans="1:10" ht="12.75" customHeight="1" x14ac:dyDescent="0.2">
      <c r="A215" s="596"/>
      <c r="B215" s="597"/>
      <c r="C215" s="597"/>
      <c r="D215" s="597"/>
      <c r="E215" s="597"/>
      <c r="F215" s="597"/>
      <c r="G215" s="597"/>
      <c r="H215" s="597"/>
      <c r="I215" s="597"/>
      <c r="J215" s="598"/>
    </row>
    <row r="216" spans="1:10" ht="12.75" customHeight="1" x14ac:dyDescent="0.2">
      <c r="A216" s="596"/>
      <c r="B216" s="597"/>
      <c r="C216" s="597"/>
      <c r="D216" s="597"/>
      <c r="E216" s="597"/>
      <c r="F216" s="597"/>
      <c r="G216" s="597"/>
      <c r="H216" s="597"/>
      <c r="I216" s="597"/>
      <c r="J216" s="598"/>
    </row>
    <row r="217" spans="1:10" ht="15" customHeight="1" x14ac:dyDescent="0.2">
      <c r="A217" s="599"/>
      <c r="B217" s="600"/>
      <c r="C217" s="600"/>
      <c r="D217" s="600"/>
      <c r="E217" s="600"/>
      <c r="F217" s="600"/>
      <c r="G217" s="600"/>
      <c r="H217" s="600"/>
      <c r="I217" s="600"/>
      <c r="J217" s="601"/>
    </row>
    <row r="218" spans="1:10" ht="12.75" customHeight="1" x14ac:dyDescent="0.2">
      <c r="A218" s="610"/>
      <c r="B218" s="611"/>
      <c r="C218" s="611"/>
      <c r="D218" s="611"/>
      <c r="E218" s="611"/>
      <c r="F218" s="611"/>
      <c r="G218" s="611"/>
      <c r="H218" s="611"/>
      <c r="I218" s="611"/>
      <c r="J218" s="612"/>
    </row>
    <row r="219" spans="1:10" ht="12.75" customHeight="1" x14ac:dyDescent="0.2">
      <c r="A219" s="610"/>
      <c r="B219" s="611"/>
      <c r="C219" s="611"/>
      <c r="D219" s="611"/>
      <c r="E219" s="611"/>
      <c r="F219" s="611"/>
      <c r="G219" s="611"/>
      <c r="H219" s="611"/>
      <c r="I219" s="611"/>
      <c r="J219" s="612"/>
    </row>
    <row r="220" spans="1:10" ht="12.75" customHeight="1" x14ac:dyDescent="0.2">
      <c r="A220" s="610"/>
      <c r="B220" s="611"/>
      <c r="C220" s="611"/>
      <c r="D220" s="611"/>
      <c r="E220" s="611"/>
      <c r="F220" s="611"/>
      <c r="G220" s="611"/>
      <c r="H220" s="611"/>
      <c r="I220" s="611"/>
      <c r="J220" s="612"/>
    </row>
    <row r="221" spans="1:10" ht="12.75" customHeight="1" x14ac:dyDescent="0.2">
      <c r="A221" s="610"/>
      <c r="B221" s="611"/>
      <c r="C221" s="611"/>
      <c r="D221" s="611"/>
      <c r="E221" s="611"/>
      <c r="F221" s="611"/>
      <c r="G221" s="611"/>
      <c r="H221" s="611"/>
      <c r="I221" s="611"/>
      <c r="J221" s="612"/>
    </row>
    <row r="222" spans="1:10" ht="12.75" customHeight="1" x14ac:dyDescent="0.2">
      <c r="A222" s="610"/>
      <c r="B222" s="611"/>
      <c r="C222" s="611"/>
      <c r="D222" s="611"/>
      <c r="E222" s="611"/>
      <c r="F222" s="611"/>
      <c r="G222" s="611"/>
      <c r="H222" s="611"/>
      <c r="I222" s="611"/>
      <c r="J222" s="612"/>
    </row>
    <row r="223" spans="1:10" ht="12.75" customHeight="1" x14ac:dyDescent="0.2">
      <c r="A223" s="610"/>
      <c r="B223" s="611"/>
      <c r="C223" s="611"/>
      <c r="D223" s="611"/>
      <c r="E223" s="611"/>
      <c r="F223" s="611"/>
      <c r="G223" s="611"/>
      <c r="H223" s="611"/>
      <c r="I223" s="611"/>
      <c r="J223" s="612"/>
    </row>
    <row r="224" spans="1:10" ht="12.75" customHeight="1" x14ac:dyDescent="0.2">
      <c r="A224" s="610"/>
      <c r="B224" s="611"/>
      <c r="C224" s="611"/>
      <c r="D224" s="611"/>
      <c r="E224" s="611"/>
      <c r="F224" s="611"/>
      <c r="G224" s="611"/>
      <c r="H224" s="611"/>
      <c r="I224" s="611"/>
      <c r="J224" s="612"/>
    </row>
    <row r="225" spans="1:10" ht="12.75" customHeight="1" x14ac:dyDescent="0.2">
      <c r="A225" s="610"/>
      <c r="B225" s="611"/>
      <c r="C225" s="611"/>
      <c r="D225" s="611"/>
      <c r="E225" s="611"/>
      <c r="F225" s="611"/>
      <c r="G225" s="611"/>
      <c r="H225" s="611"/>
      <c r="I225" s="611"/>
      <c r="J225" s="612"/>
    </row>
    <row r="226" spans="1:10" ht="12.75" customHeight="1" x14ac:dyDescent="0.2">
      <c r="A226" s="610"/>
      <c r="B226" s="611"/>
      <c r="C226" s="611"/>
      <c r="D226" s="611"/>
      <c r="E226" s="611"/>
      <c r="F226" s="611"/>
      <c r="G226" s="611"/>
      <c r="H226" s="611"/>
      <c r="I226" s="611"/>
      <c r="J226" s="612"/>
    </row>
    <row r="227" spans="1:10" ht="12.75" customHeight="1" x14ac:dyDescent="0.2">
      <c r="A227" s="610"/>
      <c r="B227" s="611"/>
      <c r="C227" s="611"/>
      <c r="D227" s="611"/>
      <c r="E227" s="611"/>
      <c r="F227" s="611"/>
      <c r="G227" s="611"/>
      <c r="H227" s="611"/>
      <c r="I227" s="611"/>
      <c r="J227" s="612"/>
    </row>
    <row r="228" spans="1:10" ht="12.75" customHeight="1" x14ac:dyDescent="0.2">
      <c r="A228" s="610"/>
      <c r="B228" s="611"/>
      <c r="C228" s="611"/>
      <c r="D228" s="611"/>
      <c r="E228" s="611"/>
      <c r="F228" s="611"/>
      <c r="G228" s="611"/>
      <c r="H228" s="611"/>
      <c r="I228" s="611"/>
      <c r="J228" s="612"/>
    </row>
    <row r="229" spans="1:10" ht="12.75" customHeight="1" x14ac:dyDescent="0.2">
      <c r="A229" s="610"/>
      <c r="B229" s="611"/>
      <c r="C229" s="611"/>
      <c r="D229" s="611"/>
      <c r="E229" s="611"/>
      <c r="F229" s="611"/>
      <c r="G229" s="611"/>
      <c r="H229" s="611"/>
      <c r="I229" s="611"/>
      <c r="J229" s="612"/>
    </row>
    <row r="230" spans="1:10" ht="12.75" customHeight="1" x14ac:dyDescent="0.2">
      <c r="A230" s="610"/>
      <c r="B230" s="611"/>
      <c r="C230" s="611"/>
      <c r="D230" s="611"/>
      <c r="E230" s="611"/>
      <c r="F230" s="611"/>
      <c r="G230" s="611"/>
      <c r="H230" s="611"/>
      <c r="I230" s="611"/>
      <c r="J230" s="612"/>
    </row>
    <row r="231" spans="1:10" ht="12.75" customHeight="1" x14ac:dyDescent="0.2">
      <c r="A231" s="610"/>
      <c r="B231" s="611"/>
      <c r="C231" s="611"/>
      <c r="D231" s="611"/>
      <c r="E231" s="611"/>
      <c r="F231" s="611"/>
      <c r="G231" s="611"/>
      <c r="H231" s="611"/>
      <c r="I231" s="611"/>
      <c r="J231" s="612"/>
    </row>
    <row r="232" spans="1:10" ht="12.75" customHeight="1" x14ac:dyDescent="0.2">
      <c r="A232" s="610"/>
      <c r="B232" s="611"/>
      <c r="C232" s="611"/>
      <c r="D232" s="611"/>
      <c r="E232" s="611"/>
      <c r="F232" s="611"/>
      <c r="G232" s="611"/>
      <c r="H232" s="611"/>
      <c r="I232" s="611"/>
      <c r="J232" s="612"/>
    </row>
    <row r="233" spans="1:10" ht="12.75" customHeight="1" x14ac:dyDescent="0.2">
      <c r="A233" s="610"/>
      <c r="B233" s="611"/>
      <c r="C233" s="611"/>
      <c r="D233" s="611"/>
      <c r="E233" s="611"/>
      <c r="F233" s="611"/>
      <c r="G233" s="611"/>
      <c r="H233" s="611"/>
      <c r="I233" s="611"/>
      <c r="J233" s="612"/>
    </row>
    <row r="234" spans="1:10" ht="12.75" customHeight="1" x14ac:dyDescent="0.2">
      <c r="A234" s="610"/>
      <c r="B234" s="611"/>
      <c r="C234" s="611"/>
      <c r="D234" s="611"/>
      <c r="E234" s="611"/>
      <c r="F234" s="611"/>
      <c r="G234" s="611"/>
      <c r="H234" s="611"/>
      <c r="I234" s="611"/>
      <c r="J234" s="612"/>
    </row>
    <row r="235" spans="1:10" ht="12.75" customHeight="1" x14ac:dyDescent="0.2">
      <c r="A235" s="610"/>
      <c r="B235" s="611"/>
      <c r="C235" s="611"/>
      <c r="D235" s="611"/>
      <c r="E235" s="611"/>
      <c r="F235" s="611"/>
      <c r="G235" s="611"/>
      <c r="H235" s="611"/>
      <c r="I235" s="611"/>
      <c r="J235" s="612"/>
    </row>
    <row r="236" spans="1:10" ht="12.75" customHeight="1" x14ac:dyDescent="0.2">
      <c r="A236" s="610"/>
      <c r="B236" s="611"/>
      <c r="C236" s="611"/>
      <c r="D236" s="611"/>
      <c r="E236" s="611"/>
      <c r="F236" s="611"/>
      <c r="G236" s="611"/>
      <c r="H236" s="611"/>
      <c r="I236" s="611"/>
      <c r="J236" s="612"/>
    </row>
    <row r="237" spans="1:10" ht="12.75" customHeight="1" x14ac:dyDescent="0.2">
      <c r="A237" s="610"/>
      <c r="B237" s="611"/>
      <c r="C237" s="611"/>
      <c r="D237" s="611"/>
      <c r="E237" s="611"/>
      <c r="F237" s="611"/>
      <c r="G237" s="611"/>
      <c r="H237" s="611"/>
      <c r="I237" s="611"/>
      <c r="J237" s="612"/>
    </row>
    <row r="238" spans="1:10" ht="12.75" customHeight="1" x14ac:dyDescent="0.2">
      <c r="A238" s="610"/>
      <c r="B238" s="611"/>
      <c r="C238" s="611"/>
      <c r="D238" s="611"/>
      <c r="E238" s="611"/>
      <c r="F238" s="611"/>
      <c r="G238" s="611"/>
      <c r="H238" s="611"/>
      <c r="I238" s="611"/>
      <c r="J238" s="612"/>
    </row>
    <row r="239" spans="1:10" ht="12.75" customHeight="1" x14ac:dyDescent="0.2">
      <c r="A239" s="610"/>
      <c r="B239" s="611"/>
      <c r="C239" s="611"/>
      <c r="D239" s="611"/>
      <c r="E239" s="611"/>
      <c r="F239" s="611"/>
      <c r="G239" s="611"/>
      <c r="H239" s="611"/>
      <c r="I239" s="611"/>
      <c r="J239" s="612"/>
    </row>
    <row r="240" spans="1:10" ht="12.75" customHeight="1" x14ac:dyDescent="0.2">
      <c r="A240" s="610"/>
      <c r="B240" s="611"/>
      <c r="C240" s="611"/>
      <c r="D240" s="611"/>
      <c r="E240" s="611"/>
      <c r="F240" s="611"/>
      <c r="G240" s="611"/>
      <c r="H240" s="611"/>
      <c r="I240" s="611"/>
      <c r="J240" s="612"/>
    </row>
    <row r="241" spans="1:10" ht="12.75" customHeight="1" x14ac:dyDescent="0.2">
      <c r="A241" s="610"/>
      <c r="B241" s="611"/>
      <c r="C241" s="611"/>
      <c r="D241" s="611"/>
      <c r="E241" s="611"/>
      <c r="F241" s="611"/>
      <c r="G241" s="611"/>
      <c r="H241" s="611"/>
      <c r="I241" s="611"/>
      <c r="J241" s="612"/>
    </row>
    <row r="242" spans="1:10" ht="12.75" customHeight="1" x14ac:dyDescent="0.2">
      <c r="A242" s="610"/>
      <c r="B242" s="611"/>
      <c r="C242" s="611"/>
      <c r="D242" s="611"/>
      <c r="E242" s="611"/>
      <c r="F242" s="611"/>
      <c r="G242" s="611"/>
      <c r="H242" s="611"/>
      <c r="I242" s="611"/>
      <c r="J242" s="612"/>
    </row>
    <row r="243" spans="1:10" ht="12.75" customHeight="1" x14ac:dyDescent="0.2">
      <c r="A243" s="610"/>
      <c r="B243" s="611"/>
      <c r="C243" s="611"/>
      <c r="D243" s="611"/>
      <c r="E243" s="611"/>
      <c r="F243" s="611"/>
      <c r="G243" s="611"/>
      <c r="H243" s="611"/>
      <c r="I243" s="611"/>
      <c r="J243" s="612"/>
    </row>
    <row r="244" spans="1:10" ht="12.75" customHeight="1" x14ac:dyDescent="0.2">
      <c r="A244" s="610"/>
      <c r="B244" s="611"/>
      <c r="C244" s="611"/>
      <c r="D244" s="611"/>
      <c r="E244" s="611"/>
      <c r="F244" s="611"/>
      <c r="G244" s="611"/>
      <c r="H244" s="611"/>
      <c r="I244" s="611"/>
      <c r="J244" s="612"/>
    </row>
    <row r="245" spans="1:10" ht="12.75" customHeight="1" x14ac:dyDescent="0.2">
      <c r="A245" s="610"/>
      <c r="B245" s="611"/>
      <c r="C245" s="611"/>
      <c r="D245" s="611"/>
      <c r="E245" s="611"/>
      <c r="F245" s="611"/>
      <c r="G245" s="611"/>
      <c r="H245" s="611"/>
      <c r="I245" s="611"/>
      <c r="J245" s="612"/>
    </row>
    <row r="246" spans="1:10" ht="12.75" customHeight="1" x14ac:dyDescent="0.2">
      <c r="A246" s="610"/>
      <c r="B246" s="611"/>
      <c r="C246" s="611"/>
      <c r="D246" s="611"/>
      <c r="E246" s="611"/>
      <c r="F246" s="611"/>
      <c r="G246" s="611"/>
      <c r="H246" s="611"/>
      <c r="I246" s="611"/>
      <c r="J246" s="612"/>
    </row>
    <row r="247" spans="1:10" ht="12.75" customHeight="1" x14ac:dyDescent="0.2">
      <c r="A247" s="610"/>
      <c r="B247" s="611"/>
      <c r="C247" s="611"/>
      <c r="D247" s="611"/>
      <c r="E247" s="611"/>
      <c r="F247" s="611"/>
      <c r="G247" s="611"/>
      <c r="H247" s="611"/>
      <c r="I247" s="611"/>
      <c r="J247" s="612"/>
    </row>
    <row r="248" spans="1:10" ht="12.75" customHeight="1" x14ac:dyDescent="0.2">
      <c r="A248" s="610"/>
      <c r="B248" s="611"/>
      <c r="C248" s="611"/>
      <c r="D248" s="611"/>
      <c r="E248" s="611"/>
      <c r="F248" s="611"/>
      <c r="G248" s="611"/>
      <c r="H248" s="611"/>
      <c r="I248" s="611"/>
      <c r="J248" s="612"/>
    </row>
    <row r="249" spans="1:10" ht="12.75" customHeight="1" x14ac:dyDescent="0.2">
      <c r="A249" s="610"/>
      <c r="B249" s="611"/>
      <c r="C249" s="611"/>
      <c r="D249" s="611"/>
      <c r="E249" s="611"/>
      <c r="F249" s="611"/>
      <c r="G249" s="611"/>
      <c r="H249" s="611"/>
      <c r="I249" s="611"/>
      <c r="J249" s="612"/>
    </row>
    <row r="250" spans="1:10" ht="12.75" customHeight="1" x14ac:dyDescent="0.2">
      <c r="A250" s="610"/>
      <c r="B250" s="611"/>
      <c r="C250" s="611"/>
      <c r="D250" s="611"/>
      <c r="E250" s="611"/>
      <c r="F250" s="611"/>
      <c r="G250" s="611"/>
      <c r="H250" s="611"/>
      <c r="I250" s="611"/>
      <c r="J250" s="612"/>
    </row>
    <row r="251" spans="1:10" ht="12.75" customHeight="1" x14ac:dyDescent="0.2">
      <c r="A251" s="610"/>
      <c r="B251" s="611"/>
      <c r="C251" s="611"/>
      <c r="D251" s="611"/>
      <c r="E251" s="611"/>
      <c r="F251" s="611"/>
      <c r="G251" s="611"/>
      <c r="H251" s="611"/>
      <c r="I251" s="611"/>
      <c r="J251" s="612"/>
    </row>
    <row r="252" spans="1:10" ht="12.75" customHeight="1" x14ac:dyDescent="0.2">
      <c r="A252" s="610"/>
      <c r="B252" s="611"/>
      <c r="C252" s="611"/>
      <c r="D252" s="611"/>
      <c r="E252" s="611"/>
      <c r="F252" s="611"/>
      <c r="G252" s="611"/>
      <c r="H252" s="611"/>
      <c r="I252" s="611"/>
      <c r="J252" s="612"/>
    </row>
    <row r="253" spans="1:10" s="61" customFormat="1" x14ac:dyDescent="0.2">
      <c r="A253" s="55"/>
      <c r="B253" s="56"/>
      <c r="C253" s="57"/>
      <c r="D253" s="58"/>
      <c r="E253" s="58"/>
      <c r="F253" s="58"/>
      <c r="G253" s="58"/>
      <c r="H253" s="59"/>
      <c r="I253" s="57"/>
      <c r="J253" s="60"/>
    </row>
    <row r="254" spans="1:10" s="61" customFormat="1" ht="25.5" customHeight="1" x14ac:dyDescent="0.2">
      <c r="A254" s="602" t="s">
        <v>183</v>
      </c>
      <c r="B254" s="603"/>
      <c r="C254" s="603"/>
      <c r="D254" s="603"/>
      <c r="E254" s="603"/>
      <c r="F254" s="603"/>
      <c r="G254" s="603"/>
      <c r="H254" s="603"/>
      <c r="I254" s="603"/>
      <c r="J254" s="604"/>
    </row>
    <row r="255" spans="1:10" s="61" customFormat="1" ht="12.75" customHeight="1" x14ac:dyDescent="0.2">
      <c r="A255" s="348" t="s">
        <v>178</v>
      </c>
      <c r="B255" s="349"/>
      <c r="C255" s="349"/>
      <c r="D255" s="349"/>
      <c r="E255" s="349"/>
      <c r="F255" s="614"/>
      <c r="G255" s="614"/>
      <c r="H255" s="614"/>
      <c r="I255" s="614"/>
      <c r="J255" s="615"/>
    </row>
    <row r="256" spans="1:10" ht="12.75" customHeight="1" x14ac:dyDescent="0.2">
      <c r="A256" s="593" t="s">
        <v>370</v>
      </c>
      <c r="B256" s="594"/>
      <c r="C256" s="594"/>
      <c r="D256" s="594"/>
      <c r="E256" s="594"/>
      <c r="F256" s="594"/>
      <c r="G256" s="594"/>
      <c r="H256" s="594"/>
      <c r="I256" s="594"/>
      <c r="J256" s="595"/>
    </row>
    <row r="257" spans="1:10" ht="12.75" customHeight="1" x14ac:dyDescent="0.2">
      <c r="A257" s="596"/>
      <c r="B257" s="597"/>
      <c r="C257" s="597"/>
      <c r="D257" s="597"/>
      <c r="E257" s="597"/>
      <c r="F257" s="597"/>
      <c r="G257" s="597"/>
      <c r="H257" s="597"/>
      <c r="I257" s="597"/>
      <c r="J257" s="598"/>
    </row>
    <row r="258" spans="1:10" ht="12.75" customHeight="1" x14ac:dyDescent="0.2">
      <c r="A258" s="596"/>
      <c r="B258" s="597"/>
      <c r="C258" s="597"/>
      <c r="D258" s="597"/>
      <c r="E258" s="597"/>
      <c r="F258" s="597"/>
      <c r="G258" s="597"/>
      <c r="H258" s="597"/>
      <c r="I258" s="597"/>
      <c r="J258" s="598"/>
    </row>
    <row r="259" spans="1:10" ht="15" customHeight="1" x14ac:dyDescent="0.2">
      <c r="A259" s="599"/>
      <c r="B259" s="600"/>
      <c r="C259" s="600"/>
      <c r="D259" s="600"/>
      <c r="E259" s="600"/>
      <c r="F259" s="600"/>
      <c r="G259" s="600"/>
      <c r="H259" s="600"/>
      <c r="I259" s="600"/>
      <c r="J259" s="601"/>
    </row>
    <row r="260" spans="1:10" ht="12.75" customHeight="1" x14ac:dyDescent="0.2">
      <c r="A260" s="610"/>
      <c r="B260" s="611"/>
      <c r="C260" s="611"/>
      <c r="D260" s="611"/>
      <c r="E260" s="611"/>
      <c r="F260" s="611"/>
      <c r="G260" s="611"/>
      <c r="H260" s="611"/>
      <c r="I260" s="611"/>
      <c r="J260" s="612"/>
    </row>
    <row r="261" spans="1:10" ht="12.75" customHeight="1" x14ac:dyDescent="0.2">
      <c r="A261" s="610"/>
      <c r="B261" s="611"/>
      <c r="C261" s="611"/>
      <c r="D261" s="611"/>
      <c r="E261" s="611"/>
      <c r="F261" s="611"/>
      <c r="G261" s="611"/>
      <c r="H261" s="611"/>
      <c r="I261" s="611"/>
      <c r="J261" s="612"/>
    </row>
    <row r="262" spans="1:10" ht="12.75" customHeight="1" x14ac:dyDescent="0.2">
      <c r="A262" s="610"/>
      <c r="B262" s="611"/>
      <c r="C262" s="611"/>
      <c r="D262" s="611"/>
      <c r="E262" s="611"/>
      <c r="F262" s="611"/>
      <c r="G262" s="611"/>
      <c r="H262" s="611"/>
      <c r="I262" s="611"/>
      <c r="J262" s="612"/>
    </row>
    <row r="263" spans="1:10" ht="12.75" customHeight="1" x14ac:dyDescent="0.2">
      <c r="A263" s="610"/>
      <c r="B263" s="611"/>
      <c r="C263" s="611"/>
      <c r="D263" s="611"/>
      <c r="E263" s="611"/>
      <c r="F263" s="611"/>
      <c r="G263" s="611"/>
      <c r="H263" s="611"/>
      <c r="I263" s="611"/>
      <c r="J263" s="612"/>
    </row>
    <row r="264" spans="1:10" ht="12.75" customHeight="1" x14ac:dyDescent="0.2">
      <c r="A264" s="610"/>
      <c r="B264" s="611"/>
      <c r="C264" s="611"/>
      <c r="D264" s="611"/>
      <c r="E264" s="611"/>
      <c r="F264" s="611"/>
      <c r="G264" s="611"/>
      <c r="H264" s="611"/>
      <c r="I264" s="611"/>
      <c r="J264" s="612"/>
    </row>
    <row r="265" spans="1:10" ht="12.75" customHeight="1" x14ac:dyDescent="0.2">
      <c r="A265" s="610"/>
      <c r="B265" s="611"/>
      <c r="C265" s="611"/>
      <c r="D265" s="611"/>
      <c r="E265" s="611"/>
      <c r="F265" s="611"/>
      <c r="G265" s="611"/>
      <c r="H265" s="611"/>
      <c r="I265" s="611"/>
      <c r="J265" s="612"/>
    </row>
    <row r="266" spans="1:10" ht="12.75" customHeight="1" x14ac:dyDescent="0.2">
      <c r="A266" s="610"/>
      <c r="B266" s="611"/>
      <c r="C266" s="611"/>
      <c r="D266" s="611"/>
      <c r="E266" s="611"/>
      <c r="F266" s="611"/>
      <c r="G266" s="611"/>
      <c r="H266" s="611"/>
      <c r="I266" s="611"/>
      <c r="J266" s="612"/>
    </row>
    <row r="267" spans="1:10" ht="12.75" customHeight="1" x14ac:dyDescent="0.2">
      <c r="A267" s="610"/>
      <c r="B267" s="611"/>
      <c r="C267" s="611"/>
      <c r="D267" s="611"/>
      <c r="E267" s="611"/>
      <c r="F267" s="611"/>
      <c r="G267" s="611"/>
      <c r="H267" s="611"/>
      <c r="I267" s="611"/>
      <c r="J267" s="612"/>
    </row>
    <row r="268" spans="1:10" ht="12.75" customHeight="1" x14ac:dyDescent="0.2">
      <c r="A268" s="610"/>
      <c r="B268" s="611"/>
      <c r="C268" s="611"/>
      <c r="D268" s="611"/>
      <c r="E268" s="611"/>
      <c r="F268" s="611"/>
      <c r="G268" s="611"/>
      <c r="H268" s="611"/>
      <c r="I268" s="611"/>
      <c r="J268" s="612"/>
    </row>
    <row r="269" spans="1:10" ht="12.75" customHeight="1" x14ac:dyDescent="0.2">
      <c r="A269" s="610"/>
      <c r="B269" s="611"/>
      <c r="C269" s="611"/>
      <c r="D269" s="611"/>
      <c r="E269" s="611"/>
      <c r="F269" s="611"/>
      <c r="G269" s="611"/>
      <c r="H269" s="611"/>
      <c r="I269" s="611"/>
      <c r="J269" s="612"/>
    </row>
    <row r="270" spans="1:10" ht="12.75" customHeight="1" x14ac:dyDescent="0.2">
      <c r="A270" s="610"/>
      <c r="B270" s="611"/>
      <c r="C270" s="611"/>
      <c r="D270" s="611"/>
      <c r="E270" s="611"/>
      <c r="F270" s="611"/>
      <c r="G270" s="611"/>
      <c r="H270" s="611"/>
      <c r="I270" s="611"/>
      <c r="J270" s="612"/>
    </row>
    <row r="271" spans="1:10" ht="12.75" customHeight="1" x14ac:dyDescent="0.2">
      <c r="A271" s="610"/>
      <c r="B271" s="611"/>
      <c r="C271" s="611"/>
      <c r="D271" s="611"/>
      <c r="E271" s="611"/>
      <c r="F271" s="611"/>
      <c r="G271" s="611"/>
      <c r="H271" s="611"/>
      <c r="I271" s="611"/>
      <c r="J271" s="612"/>
    </row>
    <row r="272" spans="1:10" ht="12.75" customHeight="1" x14ac:dyDescent="0.2">
      <c r="A272" s="610"/>
      <c r="B272" s="611"/>
      <c r="C272" s="611"/>
      <c r="D272" s="611"/>
      <c r="E272" s="611"/>
      <c r="F272" s="611"/>
      <c r="G272" s="611"/>
      <c r="H272" s="611"/>
      <c r="I272" s="611"/>
      <c r="J272" s="612"/>
    </row>
    <row r="273" spans="1:10" ht="12.75" customHeight="1" x14ac:dyDescent="0.2">
      <c r="A273" s="610"/>
      <c r="B273" s="611"/>
      <c r="C273" s="611"/>
      <c r="D273" s="611"/>
      <c r="E273" s="611"/>
      <c r="F273" s="611"/>
      <c r="G273" s="611"/>
      <c r="H273" s="611"/>
      <c r="I273" s="611"/>
      <c r="J273" s="612"/>
    </row>
    <row r="274" spans="1:10" ht="12.75" customHeight="1" x14ac:dyDescent="0.2">
      <c r="A274" s="610"/>
      <c r="B274" s="611"/>
      <c r="C274" s="611"/>
      <c r="D274" s="611"/>
      <c r="E274" s="611"/>
      <c r="F274" s="611"/>
      <c r="G274" s="611"/>
      <c r="H274" s="611"/>
      <c r="I274" s="611"/>
      <c r="J274" s="612"/>
    </row>
    <row r="275" spans="1:10" ht="12.75" customHeight="1" x14ac:dyDescent="0.2">
      <c r="A275" s="610"/>
      <c r="B275" s="611"/>
      <c r="C275" s="611"/>
      <c r="D275" s="611"/>
      <c r="E275" s="611"/>
      <c r="F275" s="611"/>
      <c r="G275" s="611"/>
      <c r="H275" s="611"/>
      <c r="I275" s="611"/>
      <c r="J275" s="612"/>
    </row>
    <row r="276" spans="1:10" ht="12.75" customHeight="1" x14ac:dyDescent="0.2">
      <c r="A276" s="610"/>
      <c r="B276" s="611"/>
      <c r="C276" s="611"/>
      <c r="D276" s="611"/>
      <c r="E276" s="611"/>
      <c r="F276" s="611"/>
      <c r="G276" s="611"/>
      <c r="H276" s="611"/>
      <c r="I276" s="611"/>
      <c r="J276" s="612"/>
    </row>
    <row r="277" spans="1:10" ht="12.75" customHeight="1" x14ac:dyDescent="0.2">
      <c r="A277" s="610"/>
      <c r="B277" s="611"/>
      <c r="C277" s="611"/>
      <c r="D277" s="611"/>
      <c r="E277" s="611"/>
      <c r="F277" s="611"/>
      <c r="G277" s="611"/>
      <c r="H277" s="611"/>
      <c r="I277" s="611"/>
      <c r="J277" s="612"/>
    </row>
    <row r="278" spans="1:10" ht="12.75" customHeight="1" x14ac:dyDescent="0.2">
      <c r="A278" s="610"/>
      <c r="B278" s="611"/>
      <c r="C278" s="611"/>
      <c r="D278" s="611"/>
      <c r="E278" s="611"/>
      <c r="F278" s="611"/>
      <c r="G278" s="611"/>
      <c r="H278" s="611"/>
      <c r="I278" s="611"/>
      <c r="J278" s="612"/>
    </row>
    <row r="279" spans="1:10" ht="12.75" customHeight="1" x14ac:dyDescent="0.2">
      <c r="A279" s="610"/>
      <c r="B279" s="611"/>
      <c r="C279" s="611"/>
      <c r="D279" s="611"/>
      <c r="E279" s="611"/>
      <c r="F279" s="611"/>
      <c r="G279" s="611"/>
      <c r="H279" s="611"/>
      <c r="I279" s="611"/>
      <c r="J279" s="612"/>
    </row>
    <row r="280" spans="1:10" ht="12.75" customHeight="1" x14ac:dyDescent="0.2">
      <c r="A280" s="610"/>
      <c r="B280" s="611"/>
      <c r="C280" s="611"/>
      <c r="D280" s="611"/>
      <c r="E280" s="611"/>
      <c r="F280" s="611"/>
      <c r="G280" s="611"/>
      <c r="H280" s="611"/>
      <c r="I280" s="611"/>
      <c r="J280" s="612"/>
    </row>
    <row r="281" spans="1:10" ht="12.75" customHeight="1" x14ac:dyDescent="0.2">
      <c r="A281" s="610"/>
      <c r="B281" s="611"/>
      <c r="C281" s="611"/>
      <c r="D281" s="611"/>
      <c r="E281" s="611"/>
      <c r="F281" s="611"/>
      <c r="G281" s="611"/>
      <c r="H281" s="611"/>
      <c r="I281" s="611"/>
      <c r="J281" s="612"/>
    </row>
    <row r="282" spans="1:10" ht="12.75" customHeight="1" x14ac:dyDescent="0.2">
      <c r="A282" s="610"/>
      <c r="B282" s="611"/>
      <c r="C282" s="611"/>
      <c r="D282" s="611"/>
      <c r="E282" s="611"/>
      <c r="F282" s="611"/>
      <c r="G282" s="611"/>
      <c r="H282" s="611"/>
      <c r="I282" s="611"/>
      <c r="J282" s="612"/>
    </row>
    <row r="283" spans="1:10" ht="12.75" customHeight="1" x14ac:dyDescent="0.2">
      <c r="A283" s="610"/>
      <c r="B283" s="611"/>
      <c r="C283" s="611"/>
      <c r="D283" s="611"/>
      <c r="E283" s="611"/>
      <c r="F283" s="611"/>
      <c r="G283" s="611"/>
      <c r="H283" s="611"/>
      <c r="I283" s="611"/>
      <c r="J283" s="612"/>
    </row>
    <row r="284" spans="1:10" ht="12.75" customHeight="1" x14ac:dyDescent="0.2">
      <c r="A284" s="610"/>
      <c r="B284" s="611"/>
      <c r="C284" s="611"/>
      <c r="D284" s="611"/>
      <c r="E284" s="611"/>
      <c r="F284" s="611"/>
      <c r="G284" s="611"/>
      <c r="H284" s="611"/>
      <c r="I284" s="611"/>
      <c r="J284" s="612"/>
    </row>
    <row r="285" spans="1:10" ht="12.75" customHeight="1" x14ac:dyDescent="0.2">
      <c r="A285" s="610"/>
      <c r="B285" s="611"/>
      <c r="C285" s="611"/>
      <c r="D285" s="611"/>
      <c r="E285" s="611"/>
      <c r="F285" s="611"/>
      <c r="G285" s="611"/>
      <c r="H285" s="611"/>
      <c r="I285" s="611"/>
      <c r="J285" s="612"/>
    </row>
    <row r="286" spans="1:10" ht="12.75" customHeight="1" x14ac:dyDescent="0.2">
      <c r="A286" s="610"/>
      <c r="B286" s="611"/>
      <c r="C286" s="611"/>
      <c r="D286" s="611"/>
      <c r="E286" s="611"/>
      <c r="F286" s="611"/>
      <c r="G286" s="611"/>
      <c r="H286" s="611"/>
      <c r="I286" s="611"/>
      <c r="J286" s="612"/>
    </row>
    <row r="287" spans="1:10" ht="12.75" customHeight="1" x14ac:dyDescent="0.2">
      <c r="A287" s="610"/>
      <c r="B287" s="611"/>
      <c r="C287" s="611"/>
      <c r="D287" s="611"/>
      <c r="E287" s="611"/>
      <c r="F287" s="611"/>
      <c r="G287" s="611"/>
      <c r="H287" s="611"/>
      <c r="I287" s="611"/>
      <c r="J287" s="612"/>
    </row>
    <row r="288" spans="1:10" ht="12.75" customHeight="1" x14ac:dyDescent="0.2">
      <c r="A288" s="610"/>
      <c r="B288" s="611"/>
      <c r="C288" s="611"/>
      <c r="D288" s="611"/>
      <c r="E288" s="611"/>
      <c r="F288" s="611"/>
      <c r="G288" s="611"/>
      <c r="H288" s="611"/>
      <c r="I288" s="611"/>
      <c r="J288" s="612"/>
    </row>
    <row r="289" spans="1:10" ht="12.75" customHeight="1" x14ac:dyDescent="0.2">
      <c r="A289" s="610"/>
      <c r="B289" s="611"/>
      <c r="C289" s="611"/>
      <c r="D289" s="611"/>
      <c r="E289" s="611"/>
      <c r="F289" s="611"/>
      <c r="G289" s="611"/>
      <c r="H289" s="611"/>
      <c r="I289" s="611"/>
      <c r="J289" s="612"/>
    </row>
    <row r="290" spans="1:10" ht="12.75" customHeight="1" x14ac:dyDescent="0.2">
      <c r="A290" s="610"/>
      <c r="B290" s="611"/>
      <c r="C290" s="611"/>
      <c r="D290" s="611"/>
      <c r="E290" s="611"/>
      <c r="F290" s="611"/>
      <c r="G290" s="611"/>
      <c r="H290" s="611"/>
      <c r="I290" s="611"/>
      <c r="J290" s="612"/>
    </row>
    <row r="291" spans="1:10" ht="12.75" customHeight="1" x14ac:dyDescent="0.2">
      <c r="A291" s="610"/>
      <c r="B291" s="611"/>
      <c r="C291" s="611"/>
      <c r="D291" s="611"/>
      <c r="E291" s="611"/>
      <c r="F291" s="611"/>
      <c r="G291" s="611"/>
      <c r="H291" s="611"/>
      <c r="I291" s="611"/>
      <c r="J291" s="612"/>
    </row>
    <row r="292" spans="1:10" ht="12.75" customHeight="1" x14ac:dyDescent="0.2">
      <c r="A292" s="610"/>
      <c r="B292" s="611"/>
      <c r="C292" s="611"/>
      <c r="D292" s="611"/>
      <c r="E292" s="611"/>
      <c r="F292" s="611"/>
      <c r="G292" s="611"/>
      <c r="H292" s="611"/>
      <c r="I292" s="611"/>
      <c r="J292" s="612"/>
    </row>
    <row r="293" spans="1:10" ht="12.75" customHeight="1" x14ac:dyDescent="0.2">
      <c r="A293" s="610"/>
      <c r="B293" s="611"/>
      <c r="C293" s="611"/>
      <c r="D293" s="611"/>
      <c r="E293" s="611"/>
      <c r="F293" s="611"/>
      <c r="G293" s="611"/>
      <c r="H293" s="611"/>
      <c r="I293" s="611"/>
      <c r="J293" s="612"/>
    </row>
    <row r="294" spans="1:10" ht="12.75" customHeight="1" x14ac:dyDescent="0.2">
      <c r="A294" s="610"/>
      <c r="B294" s="611"/>
      <c r="C294" s="611"/>
      <c r="D294" s="611"/>
      <c r="E294" s="611"/>
      <c r="F294" s="611"/>
      <c r="G294" s="611"/>
      <c r="H294" s="611"/>
      <c r="I294" s="611"/>
      <c r="J294" s="612"/>
    </row>
    <row r="295" spans="1:10" s="61" customFormat="1" x14ac:dyDescent="0.2">
      <c r="A295" s="55"/>
      <c r="B295" s="56"/>
      <c r="C295" s="57"/>
      <c r="D295" s="58"/>
      <c r="E295" s="58"/>
      <c r="F295" s="58"/>
      <c r="G295" s="58"/>
      <c r="H295" s="59"/>
      <c r="I295" s="57"/>
      <c r="J295" s="60"/>
    </row>
    <row r="296" spans="1:10" s="61" customFormat="1" ht="25.5" customHeight="1" x14ac:dyDescent="0.2">
      <c r="A296" s="602" t="s">
        <v>184</v>
      </c>
      <c r="B296" s="603"/>
      <c r="C296" s="603"/>
      <c r="D296" s="603"/>
      <c r="E296" s="603"/>
      <c r="F296" s="603"/>
      <c r="G296" s="603"/>
      <c r="H296" s="603"/>
      <c r="I296" s="603"/>
      <c r="J296" s="604"/>
    </row>
    <row r="297" spans="1:10" s="61" customFormat="1" ht="12.75" customHeight="1" x14ac:dyDescent="0.2">
      <c r="A297" s="348" t="s">
        <v>178</v>
      </c>
      <c r="B297" s="349"/>
      <c r="C297" s="349"/>
      <c r="D297" s="349"/>
      <c r="E297" s="349"/>
      <c r="F297" s="614"/>
      <c r="G297" s="614"/>
      <c r="H297" s="614"/>
      <c r="I297" s="614"/>
      <c r="J297" s="615"/>
    </row>
    <row r="298" spans="1:10" ht="12.75" customHeight="1" x14ac:dyDescent="0.2">
      <c r="A298" s="593" t="s">
        <v>370</v>
      </c>
      <c r="B298" s="594"/>
      <c r="C298" s="594"/>
      <c r="D298" s="594"/>
      <c r="E298" s="594"/>
      <c r="F298" s="594"/>
      <c r="G298" s="594"/>
      <c r="H298" s="594"/>
      <c r="I298" s="594"/>
      <c r="J298" s="595"/>
    </row>
    <row r="299" spans="1:10" ht="12.75" customHeight="1" x14ac:dyDescent="0.2">
      <c r="A299" s="596"/>
      <c r="B299" s="597"/>
      <c r="C299" s="597"/>
      <c r="D299" s="597"/>
      <c r="E299" s="597"/>
      <c r="F299" s="597"/>
      <c r="G299" s="597"/>
      <c r="H299" s="597"/>
      <c r="I299" s="597"/>
      <c r="J299" s="598"/>
    </row>
    <row r="300" spans="1:10" ht="12.75" customHeight="1" x14ac:dyDescent="0.2">
      <c r="A300" s="596"/>
      <c r="B300" s="597"/>
      <c r="C300" s="597"/>
      <c r="D300" s="597"/>
      <c r="E300" s="597"/>
      <c r="F300" s="597"/>
      <c r="G300" s="597"/>
      <c r="H300" s="597"/>
      <c r="I300" s="597"/>
      <c r="J300" s="598"/>
    </row>
    <row r="301" spans="1:10" ht="15" customHeight="1" x14ac:dyDescent="0.2">
      <c r="A301" s="599"/>
      <c r="B301" s="600"/>
      <c r="C301" s="600"/>
      <c r="D301" s="600"/>
      <c r="E301" s="600"/>
      <c r="F301" s="600"/>
      <c r="G301" s="600"/>
      <c r="H301" s="600"/>
      <c r="I301" s="600"/>
      <c r="J301" s="601"/>
    </row>
    <row r="302" spans="1:10" ht="12.75" customHeight="1" x14ac:dyDescent="0.2">
      <c r="A302" s="610"/>
      <c r="B302" s="611"/>
      <c r="C302" s="611"/>
      <c r="D302" s="611"/>
      <c r="E302" s="611"/>
      <c r="F302" s="611"/>
      <c r="G302" s="611"/>
      <c r="H302" s="611"/>
      <c r="I302" s="611"/>
      <c r="J302" s="612"/>
    </row>
    <row r="303" spans="1:10" ht="12.75" customHeight="1" x14ac:dyDescent="0.2">
      <c r="A303" s="610"/>
      <c r="B303" s="611"/>
      <c r="C303" s="611"/>
      <c r="D303" s="611"/>
      <c r="E303" s="611"/>
      <c r="F303" s="611"/>
      <c r="G303" s="611"/>
      <c r="H303" s="611"/>
      <c r="I303" s="611"/>
      <c r="J303" s="612"/>
    </row>
    <row r="304" spans="1:10" ht="12.75" customHeight="1" x14ac:dyDescent="0.2">
      <c r="A304" s="610"/>
      <c r="B304" s="611"/>
      <c r="C304" s="611"/>
      <c r="D304" s="611"/>
      <c r="E304" s="611"/>
      <c r="F304" s="611"/>
      <c r="G304" s="611"/>
      <c r="H304" s="611"/>
      <c r="I304" s="611"/>
      <c r="J304" s="612"/>
    </row>
    <row r="305" spans="1:10" ht="12.75" customHeight="1" x14ac:dyDescent="0.2">
      <c r="A305" s="610"/>
      <c r="B305" s="611"/>
      <c r="C305" s="611"/>
      <c r="D305" s="611"/>
      <c r="E305" s="611"/>
      <c r="F305" s="611"/>
      <c r="G305" s="611"/>
      <c r="H305" s="611"/>
      <c r="I305" s="611"/>
      <c r="J305" s="612"/>
    </row>
    <row r="306" spans="1:10" ht="12.75" customHeight="1" x14ac:dyDescent="0.2">
      <c r="A306" s="610"/>
      <c r="B306" s="611"/>
      <c r="C306" s="611"/>
      <c r="D306" s="611"/>
      <c r="E306" s="611"/>
      <c r="F306" s="611"/>
      <c r="G306" s="611"/>
      <c r="H306" s="611"/>
      <c r="I306" s="611"/>
      <c r="J306" s="612"/>
    </row>
    <row r="307" spans="1:10" ht="12.75" customHeight="1" x14ac:dyDescent="0.2">
      <c r="A307" s="610"/>
      <c r="B307" s="611"/>
      <c r="C307" s="611"/>
      <c r="D307" s="611"/>
      <c r="E307" s="611"/>
      <c r="F307" s="611"/>
      <c r="G307" s="611"/>
      <c r="H307" s="611"/>
      <c r="I307" s="611"/>
      <c r="J307" s="612"/>
    </row>
    <row r="308" spans="1:10" ht="12.75" customHeight="1" x14ac:dyDescent="0.2">
      <c r="A308" s="610"/>
      <c r="B308" s="611"/>
      <c r="C308" s="611"/>
      <c r="D308" s="611"/>
      <c r="E308" s="611"/>
      <c r="F308" s="611"/>
      <c r="G308" s="611"/>
      <c r="H308" s="611"/>
      <c r="I308" s="611"/>
      <c r="J308" s="612"/>
    </row>
    <row r="309" spans="1:10" ht="12.75" customHeight="1" x14ac:dyDescent="0.2">
      <c r="A309" s="610"/>
      <c r="B309" s="611"/>
      <c r="C309" s="611"/>
      <c r="D309" s="611"/>
      <c r="E309" s="611"/>
      <c r="F309" s="611"/>
      <c r="G309" s="611"/>
      <c r="H309" s="611"/>
      <c r="I309" s="611"/>
      <c r="J309" s="612"/>
    </row>
    <row r="310" spans="1:10" ht="12.75" customHeight="1" x14ac:dyDescent="0.2">
      <c r="A310" s="610"/>
      <c r="B310" s="611"/>
      <c r="C310" s="611"/>
      <c r="D310" s="611"/>
      <c r="E310" s="611"/>
      <c r="F310" s="611"/>
      <c r="G310" s="611"/>
      <c r="H310" s="611"/>
      <c r="I310" s="611"/>
      <c r="J310" s="612"/>
    </row>
    <row r="311" spans="1:10" ht="12.75" customHeight="1" x14ac:dyDescent="0.2">
      <c r="A311" s="610"/>
      <c r="B311" s="611"/>
      <c r="C311" s="611"/>
      <c r="D311" s="611"/>
      <c r="E311" s="611"/>
      <c r="F311" s="611"/>
      <c r="G311" s="611"/>
      <c r="H311" s="611"/>
      <c r="I311" s="611"/>
      <c r="J311" s="612"/>
    </row>
    <row r="312" spans="1:10" ht="12.75" customHeight="1" x14ac:dyDescent="0.2">
      <c r="A312" s="610"/>
      <c r="B312" s="611"/>
      <c r="C312" s="611"/>
      <c r="D312" s="611"/>
      <c r="E312" s="611"/>
      <c r="F312" s="611"/>
      <c r="G312" s="611"/>
      <c r="H312" s="611"/>
      <c r="I312" s="611"/>
      <c r="J312" s="612"/>
    </row>
    <row r="313" spans="1:10" ht="12.75" customHeight="1" x14ac:dyDescent="0.2">
      <c r="A313" s="610"/>
      <c r="B313" s="611"/>
      <c r="C313" s="611"/>
      <c r="D313" s="611"/>
      <c r="E313" s="611"/>
      <c r="F313" s="611"/>
      <c r="G313" s="611"/>
      <c r="H313" s="611"/>
      <c r="I313" s="611"/>
      <c r="J313" s="612"/>
    </row>
    <row r="314" spans="1:10" ht="12.75" customHeight="1" x14ac:dyDescent="0.2">
      <c r="A314" s="610"/>
      <c r="B314" s="611"/>
      <c r="C314" s="611"/>
      <c r="D314" s="611"/>
      <c r="E314" s="611"/>
      <c r="F314" s="611"/>
      <c r="G314" s="611"/>
      <c r="H314" s="611"/>
      <c r="I314" s="611"/>
      <c r="J314" s="612"/>
    </row>
    <row r="315" spans="1:10" ht="12.75" customHeight="1" x14ac:dyDescent="0.2">
      <c r="A315" s="610"/>
      <c r="B315" s="611"/>
      <c r="C315" s="611"/>
      <c r="D315" s="611"/>
      <c r="E315" s="611"/>
      <c r="F315" s="611"/>
      <c r="G315" s="611"/>
      <c r="H315" s="611"/>
      <c r="I315" s="611"/>
      <c r="J315" s="612"/>
    </row>
    <row r="316" spans="1:10" ht="12.75" customHeight="1" x14ac:dyDescent="0.2">
      <c r="A316" s="610"/>
      <c r="B316" s="611"/>
      <c r="C316" s="611"/>
      <c r="D316" s="611"/>
      <c r="E316" s="611"/>
      <c r="F316" s="611"/>
      <c r="G316" s="611"/>
      <c r="H316" s="611"/>
      <c r="I316" s="611"/>
      <c r="J316" s="612"/>
    </row>
    <row r="317" spans="1:10" ht="12.75" customHeight="1" x14ac:dyDescent="0.2">
      <c r="A317" s="610"/>
      <c r="B317" s="611"/>
      <c r="C317" s="611"/>
      <c r="D317" s="611"/>
      <c r="E317" s="611"/>
      <c r="F317" s="611"/>
      <c r="G317" s="611"/>
      <c r="H317" s="611"/>
      <c r="I317" s="611"/>
      <c r="J317" s="612"/>
    </row>
    <row r="318" spans="1:10" ht="12.75" customHeight="1" x14ac:dyDescent="0.2">
      <c r="A318" s="610"/>
      <c r="B318" s="611"/>
      <c r="C318" s="611"/>
      <c r="D318" s="611"/>
      <c r="E318" s="611"/>
      <c r="F318" s="611"/>
      <c r="G318" s="611"/>
      <c r="H318" s="611"/>
      <c r="I318" s="611"/>
      <c r="J318" s="612"/>
    </row>
    <row r="319" spans="1:10" ht="12.75" customHeight="1" x14ac:dyDescent="0.2">
      <c r="A319" s="610"/>
      <c r="B319" s="611"/>
      <c r="C319" s="611"/>
      <c r="D319" s="611"/>
      <c r="E319" s="611"/>
      <c r="F319" s="611"/>
      <c r="G319" s="611"/>
      <c r="H319" s="611"/>
      <c r="I319" s="611"/>
      <c r="J319" s="612"/>
    </row>
    <row r="320" spans="1:10" ht="12.75" customHeight="1" x14ac:dyDescent="0.2">
      <c r="A320" s="610"/>
      <c r="B320" s="611"/>
      <c r="C320" s="611"/>
      <c r="D320" s="611"/>
      <c r="E320" s="611"/>
      <c r="F320" s="611"/>
      <c r="G320" s="611"/>
      <c r="H320" s="611"/>
      <c r="I320" s="611"/>
      <c r="J320" s="612"/>
    </row>
    <row r="321" spans="1:10" ht="12.75" customHeight="1" x14ac:dyDescent="0.2">
      <c r="A321" s="610"/>
      <c r="B321" s="611"/>
      <c r="C321" s="611"/>
      <c r="D321" s="611"/>
      <c r="E321" s="611"/>
      <c r="F321" s="611"/>
      <c r="G321" s="611"/>
      <c r="H321" s="611"/>
      <c r="I321" s="611"/>
      <c r="J321" s="612"/>
    </row>
    <row r="322" spans="1:10" ht="12.75" customHeight="1" x14ac:dyDescent="0.2">
      <c r="A322" s="610"/>
      <c r="B322" s="611"/>
      <c r="C322" s="611"/>
      <c r="D322" s="611"/>
      <c r="E322" s="611"/>
      <c r="F322" s="611"/>
      <c r="G322" s="611"/>
      <c r="H322" s="611"/>
      <c r="I322" s="611"/>
      <c r="J322" s="612"/>
    </row>
    <row r="323" spans="1:10" ht="12.75" customHeight="1" x14ac:dyDescent="0.2">
      <c r="A323" s="610"/>
      <c r="B323" s="611"/>
      <c r="C323" s="611"/>
      <c r="D323" s="611"/>
      <c r="E323" s="611"/>
      <c r="F323" s="611"/>
      <c r="G323" s="611"/>
      <c r="H323" s="611"/>
      <c r="I323" s="611"/>
      <c r="J323" s="612"/>
    </row>
    <row r="324" spans="1:10" ht="12.75" customHeight="1" x14ac:dyDescent="0.2">
      <c r="A324" s="610"/>
      <c r="B324" s="611"/>
      <c r="C324" s="611"/>
      <c r="D324" s="611"/>
      <c r="E324" s="611"/>
      <c r="F324" s="611"/>
      <c r="G324" s="611"/>
      <c r="H324" s="611"/>
      <c r="I324" s="611"/>
      <c r="J324" s="612"/>
    </row>
    <row r="325" spans="1:10" ht="12.75" customHeight="1" x14ac:dyDescent="0.2">
      <c r="A325" s="610"/>
      <c r="B325" s="611"/>
      <c r="C325" s="611"/>
      <c r="D325" s="611"/>
      <c r="E325" s="611"/>
      <c r="F325" s="611"/>
      <c r="G325" s="611"/>
      <c r="H325" s="611"/>
      <c r="I325" s="611"/>
      <c r="J325" s="612"/>
    </row>
    <row r="326" spans="1:10" ht="12.75" customHeight="1" x14ac:dyDescent="0.2">
      <c r="A326" s="610"/>
      <c r="B326" s="611"/>
      <c r="C326" s="611"/>
      <c r="D326" s="611"/>
      <c r="E326" s="611"/>
      <c r="F326" s="611"/>
      <c r="G326" s="611"/>
      <c r="H326" s="611"/>
      <c r="I326" s="611"/>
      <c r="J326" s="612"/>
    </row>
    <row r="327" spans="1:10" ht="12.75" customHeight="1" x14ac:dyDescent="0.2">
      <c r="A327" s="610"/>
      <c r="B327" s="611"/>
      <c r="C327" s="611"/>
      <c r="D327" s="611"/>
      <c r="E327" s="611"/>
      <c r="F327" s="611"/>
      <c r="G327" s="611"/>
      <c r="H327" s="611"/>
      <c r="I327" s="611"/>
      <c r="J327" s="612"/>
    </row>
    <row r="328" spans="1:10" ht="12.75" customHeight="1" x14ac:dyDescent="0.2">
      <c r="A328" s="610"/>
      <c r="B328" s="611"/>
      <c r="C328" s="611"/>
      <c r="D328" s="611"/>
      <c r="E328" s="611"/>
      <c r="F328" s="611"/>
      <c r="G328" s="611"/>
      <c r="H328" s="611"/>
      <c r="I328" s="611"/>
      <c r="J328" s="612"/>
    </row>
    <row r="329" spans="1:10" ht="12.75" customHeight="1" x14ac:dyDescent="0.2">
      <c r="A329" s="610"/>
      <c r="B329" s="611"/>
      <c r="C329" s="611"/>
      <c r="D329" s="611"/>
      <c r="E329" s="611"/>
      <c r="F329" s="611"/>
      <c r="G329" s="611"/>
      <c r="H329" s="611"/>
      <c r="I329" s="611"/>
      <c r="J329" s="612"/>
    </row>
    <row r="330" spans="1:10" ht="12.75" customHeight="1" x14ac:dyDescent="0.2">
      <c r="A330" s="610"/>
      <c r="B330" s="611"/>
      <c r="C330" s="611"/>
      <c r="D330" s="611"/>
      <c r="E330" s="611"/>
      <c r="F330" s="611"/>
      <c r="G330" s="611"/>
      <c r="H330" s="611"/>
      <c r="I330" s="611"/>
      <c r="J330" s="612"/>
    </row>
    <row r="331" spans="1:10" ht="12.75" customHeight="1" x14ac:dyDescent="0.2">
      <c r="A331" s="610"/>
      <c r="B331" s="611"/>
      <c r="C331" s="611"/>
      <c r="D331" s="611"/>
      <c r="E331" s="611"/>
      <c r="F331" s="611"/>
      <c r="G331" s="611"/>
      <c r="H331" s="611"/>
      <c r="I331" s="611"/>
      <c r="J331" s="612"/>
    </row>
    <row r="332" spans="1:10" ht="12.75" customHeight="1" x14ac:dyDescent="0.2">
      <c r="A332" s="610"/>
      <c r="B332" s="611"/>
      <c r="C332" s="611"/>
      <c r="D332" s="611"/>
      <c r="E332" s="611"/>
      <c r="F332" s="611"/>
      <c r="G332" s="611"/>
      <c r="H332" s="611"/>
      <c r="I332" s="611"/>
      <c r="J332" s="612"/>
    </row>
    <row r="333" spans="1:10" ht="12.75" customHeight="1" x14ac:dyDescent="0.2">
      <c r="A333" s="610"/>
      <c r="B333" s="611"/>
      <c r="C333" s="611"/>
      <c r="D333" s="611"/>
      <c r="E333" s="611"/>
      <c r="F333" s="611"/>
      <c r="G333" s="611"/>
      <c r="H333" s="611"/>
      <c r="I333" s="611"/>
      <c r="J333" s="612"/>
    </row>
    <row r="334" spans="1:10" ht="12.75" customHeight="1" x14ac:dyDescent="0.2">
      <c r="A334" s="610"/>
      <c r="B334" s="611"/>
      <c r="C334" s="611"/>
      <c r="D334" s="611"/>
      <c r="E334" s="611"/>
      <c r="F334" s="611"/>
      <c r="G334" s="611"/>
      <c r="H334" s="611"/>
      <c r="I334" s="611"/>
      <c r="J334" s="612"/>
    </row>
    <row r="335" spans="1:10" ht="12.75" customHeight="1" x14ac:dyDescent="0.2">
      <c r="A335" s="610"/>
      <c r="B335" s="611"/>
      <c r="C335" s="611"/>
      <c r="D335" s="611"/>
      <c r="E335" s="611"/>
      <c r="F335" s="611"/>
      <c r="G335" s="611"/>
      <c r="H335" s="611"/>
      <c r="I335" s="611"/>
      <c r="J335" s="612"/>
    </row>
    <row r="336" spans="1:10" ht="12.75" customHeight="1" x14ac:dyDescent="0.2">
      <c r="A336" s="610"/>
      <c r="B336" s="611"/>
      <c r="C336" s="611"/>
      <c r="D336" s="611"/>
      <c r="E336" s="611"/>
      <c r="F336" s="611"/>
      <c r="G336" s="611"/>
      <c r="H336" s="611"/>
      <c r="I336" s="611"/>
      <c r="J336" s="612"/>
    </row>
    <row r="337" spans="1:10" s="61" customFormat="1" x14ac:dyDescent="0.2">
      <c r="A337" s="55"/>
      <c r="B337" s="56"/>
      <c r="C337" s="57"/>
      <c r="D337" s="58"/>
      <c r="E337" s="58"/>
      <c r="F337" s="58"/>
      <c r="G337" s="58"/>
      <c r="H337" s="59"/>
      <c r="I337" s="57"/>
      <c r="J337" s="60"/>
    </row>
    <row r="338" spans="1:10" s="61" customFormat="1" ht="25.5" customHeight="1" x14ac:dyDescent="0.2">
      <c r="A338" s="602" t="s">
        <v>108</v>
      </c>
      <c r="B338" s="603"/>
      <c r="C338" s="603"/>
      <c r="D338" s="603"/>
      <c r="E338" s="603"/>
      <c r="F338" s="603"/>
      <c r="G338" s="603"/>
      <c r="H338" s="603"/>
      <c r="I338" s="603"/>
      <c r="J338" s="604"/>
    </row>
    <row r="339" spans="1:10" s="61" customFormat="1" ht="12.75" customHeight="1" x14ac:dyDescent="0.2">
      <c r="A339" s="348" t="s">
        <v>178</v>
      </c>
      <c r="B339" s="349"/>
      <c r="C339" s="349"/>
      <c r="D339" s="349"/>
      <c r="E339" s="349"/>
      <c r="F339" s="614"/>
      <c r="G339" s="614"/>
      <c r="H339" s="614"/>
      <c r="I339" s="614"/>
      <c r="J339" s="615"/>
    </row>
    <row r="340" spans="1:10" ht="12.75" customHeight="1" x14ac:dyDescent="0.2">
      <c r="A340" s="593" t="s">
        <v>370</v>
      </c>
      <c r="B340" s="594"/>
      <c r="C340" s="594"/>
      <c r="D340" s="594"/>
      <c r="E340" s="594"/>
      <c r="F340" s="594"/>
      <c r="G340" s="594"/>
      <c r="H340" s="594"/>
      <c r="I340" s="594"/>
      <c r="J340" s="595"/>
    </row>
    <row r="341" spans="1:10" ht="12.75" customHeight="1" x14ac:dyDescent="0.2">
      <c r="A341" s="596"/>
      <c r="B341" s="597"/>
      <c r="C341" s="597"/>
      <c r="D341" s="597"/>
      <c r="E341" s="597"/>
      <c r="F341" s="597"/>
      <c r="G341" s="597"/>
      <c r="H341" s="597"/>
      <c r="I341" s="597"/>
      <c r="J341" s="598"/>
    </row>
    <row r="342" spans="1:10" ht="12.75" customHeight="1" x14ac:dyDescent="0.2">
      <c r="A342" s="596"/>
      <c r="B342" s="597"/>
      <c r="C342" s="597"/>
      <c r="D342" s="597"/>
      <c r="E342" s="597"/>
      <c r="F342" s="597"/>
      <c r="G342" s="597"/>
      <c r="H342" s="597"/>
      <c r="I342" s="597"/>
      <c r="J342" s="598"/>
    </row>
    <row r="343" spans="1:10" ht="15" customHeight="1" x14ac:dyDescent="0.2">
      <c r="A343" s="599"/>
      <c r="B343" s="600"/>
      <c r="C343" s="600"/>
      <c r="D343" s="600"/>
      <c r="E343" s="600"/>
      <c r="F343" s="600"/>
      <c r="G343" s="600"/>
      <c r="H343" s="600"/>
      <c r="I343" s="600"/>
      <c r="J343" s="601"/>
    </row>
    <row r="344" spans="1:10" ht="12.75" customHeight="1" x14ac:dyDescent="0.2">
      <c r="A344" s="610"/>
      <c r="B344" s="611"/>
      <c r="C344" s="611"/>
      <c r="D344" s="611"/>
      <c r="E344" s="611"/>
      <c r="F344" s="611"/>
      <c r="G344" s="611"/>
      <c r="H344" s="611"/>
      <c r="I344" s="611"/>
      <c r="J344" s="612"/>
    </row>
    <row r="345" spans="1:10" ht="12.75" customHeight="1" x14ac:dyDescent="0.2">
      <c r="A345" s="610"/>
      <c r="B345" s="611"/>
      <c r="C345" s="611"/>
      <c r="D345" s="611"/>
      <c r="E345" s="611"/>
      <c r="F345" s="611"/>
      <c r="G345" s="611"/>
      <c r="H345" s="611"/>
      <c r="I345" s="611"/>
      <c r="J345" s="612"/>
    </row>
    <row r="346" spans="1:10" ht="12.75" customHeight="1" x14ac:dyDescent="0.2">
      <c r="A346" s="610"/>
      <c r="B346" s="611"/>
      <c r="C346" s="611"/>
      <c r="D346" s="611"/>
      <c r="E346" s="611"/>
      <c r="F346" s="611"/>
      <c r="G346" s="611"/>
      <c r="H346" s="611"/>
      <c r="I346" s="611"/>
      <c r="J346" s="612"/>
    </row>
    <row r="347" spans="1:10" ht="12.75" customHeight="1" x14ac:dyDescent="0.2">
      <c r="A347" s="610"/>
      <c r="B347" s="611"/>
      <c r="C347" s="611"/>
      <c r="D347" s="611"/>
      <c r="E347" s="611"/>
      <c r="F347" s="611"/>
      <c r="G347" s="611"/>
      <c r="H347" s="611"/>
      <c r="I347" s="611"/>
      <c r="J347" s="612"/>
    </row>
    <row r="348" spans="1:10" ht="12.75" customHeight="1" x14ac:dyDescent="0.2">
      <c r="A348" s="610"/>
      <c r="B348" s="611"/>
      <c r="C348" s="611"/>
      <c r="D348" s="611"/>
      <c r="E348" s="611"/>
      <c r="F348" s="611"/>
      <c r="G348" s="611"/>
      <c r="H348" s="611"/>
      <c r="I348" s="611"/>
      <c r="J348" s="612"/>
    </row>
    <row r="349" spans="1:10" ht="12.75" customHeight="1" x14ac:dyDescent="0.2">
      <c r="A349" s="610"/>
      <c r="B349" s="611"/>
      <c r="C349" s="611"/>
      <c r="D349" s="611"/>
      <c r="E349" s="611"/>
      <c r="F349" s="611"/>
      <c r="G349" s="611"/>
      <c r="H349" s="611"/>
      <c r="I349" s="611"/>
      <c r="J349" s="612"/>
    </row>
    <row r="350" spans="1:10" ht="12.75" customHeight="1" x14ac:dyDescent="0.2">
      <c r="A350" s="610"/>
      <c r="B350" s="611"/>
      <c r="C350" s="611"/>
      <c r="D350" s="611"/>
      <c r="E350" s="611"/>
      <c r="F350" s="611"/>
      <c r="G350" s="611"/>
      <c r="H350" s="611"/>
      <c r="I350" s="611"/>
      <c r="J350" s="612"/>
    </row>
    <row r="351" spans="1:10" ht="12.75" customHeight="1" x14ac:dyDescent="0.2">
      <c r="A351" s="610"/>
      <c r="B351" s="611"/>
      <c r="C351" s="611"/>
      <c r="D351" s="611"/>
      <c r="E351" s="611"/>
      <c r="F351" s="611"/>
      <c r="G351" s="611"/>
      <c r="H351" s="611"/>
      <c r="I351" s="611"/>
      <c r="J351" s="612"/>
    </row>
    <row r="352" spans="1:10" ht="12.75" customHeight="1" x14ac:dyDescent="0.2">
      <c r="A352" s="610"/>
      <c r="B352" s="611"/>
      <c r="C352" s="611"/>
      <c r="D352" s="611"/>
      <c r="E352" s="611"/>
      <c r="F352" s="611"/>
      <c r="G352" s="611"/>
      <c r="H352" s="611"/>
      <c r="I352" s="611"/>
      <c r="J352" s="612"/>
    </row>
    <row r="353" spans="1:10" ht="12.75" customHeight="1" x14ac:dyDescent="0.2">
      <c r="A353" s="610"/>
      <c r="B353" s="611"/>
      <c r="C353" s="611"/>
      <c r="D353" s="611"/>
      <c r="E353" s="611"/>
      <c r="F353" s="611"/>
      <c r="G353" s="611"/>
      <c r="H353" s="611"/>
      <c r="I353" s="611"/>
      <c r="J353" s="612"/>
    </row>
    <row r="354" spans="1:10" ht="12.75" customHeight="1" x14ac:dyDescent="0.2">
      <c r="A354" s="610"/>
      <c r="B354" s="611"/>
      <c r="C354" s="611"/>
      <c r="D354" s="611"/>
      <c r="E354" s="611"/>
      <c r="F354" s="611"/>
      <c r="G354" s="611"/>
      <c r="H354" s="611"/>
      <c r="I354" s="611"/>
      <c r="J354" s="612"/>
    </row>
    <row r="355" spans="1:10" ht="12.75" customHeight="1" x14ac:dyDescent="0.2">
      <c r="A355" s="610"/>
      <c r="B355" s="611"/>
      <c r="C355" s="611"/>
      <c r="D355" s="611"/>
      <c r="E355" s="611"/>
      <c r="F355" s="611"/>
      <c r="G355" s="611"/>
      <c r="H355" s="611"/>
      <c r="I355" s="611"/>
      <c r="J355" s="612"/>
    </row>
    <row r="356" spans="1:10" ht="12.75" customHeight="1" x14ac:dyDescent="0.2">
      <c r="A356" s="610"/>
      <c r="B356" s="611"/>
      <c r="C356" s="611"/>
      <c r="D356" s="611"/>
      <c r="E356" s="611"/>
      <c r="F356" s="611"/>
      <c r="G356" s="611"/>
      <c r="H356" s="611"/>
      <c r="I356" s="611"/>
      <c r="J356" s="612"/>
    </row>
    <row r="357" spans="1:10" ht="12.75" customHeight="1" x14ac:dyDescent="0.2">
      <c r="A357" s="610"/>
      <c r="B357" s="611"/>
      <c r="C357" s="611"/>
      <c r="D357" s="611"/>
      <c r="E357" s="611"/>
      <c r="F357" s="611"/>
      <c r="G357" s="611"/>
      <c r="H357" s="611"/>
      <c r="I357" s="611"/>
      <c r="J357" s="612"/>
    </row>
    <row r="358" spans="1:10" ht="12.75" customHeight="1" x14ac:dyDescent="0.2">
      <c r="A358" s="610"/>
      <c r="B358" s="611"/>
      <c r="C358" s="611"/>
      <c r="D358" s="611"/>
      <c r="E358" s="611"/>
      <c r="F358" s="611"/>
      <c r="G358" s="611"/>
      <c r="H358" s="611"/>
      <c r="I358" s="611"/>
      <c r="J358" s="612"/>
    </row>
    <row r="359" spans="1:10" ht="12.75" customHeight="1" x14ac:dyDescent="0.2">
      <c r="A359" s="610"/>
      <c r="B359" s="611"/>
      <c r="C359" s="611"/>
      <c r="D359" s="611"/>
      <c r="E359" s="611"/>
      <c r="F359" s="611"/>
      <c r="G359" s="611"/>
      <c r="H359" s="611"/>
      <c r="I359" s="611"/>
      <c r="J359" s="612"/>
    </row>
    <row r="360" spans="1:10" ht="12.75" customHeight="1" x14ac:dyDescent="0.2">
      <c r="A360" s="610"/>
      <c r="B360" s="611"/>
      <c r="C360" s="611"/>
      <c r="D360" s="611"/>
      <c r="E360" s="611"/>
      <c r="F360" s="611"/>
      <c r="G360" s="611"/>
      <c r="H360" s="611"/>
      <c r="I360" s="611"/>
      <c r="J360" s="612"/>
    </row>
    <row r="361" spans="1:10" ht="12.75" customHeight="1" x14ac:dyDescent="0.2">
      <c r="A361" s="610"/>
      <c r="B361" s="611"/>
      <c r="C361" s="611"/>
      <c r="D361" s="611"/>
      <c r="E361" s="611"/>
      <c r="F361" s="611"/>
      <c r="G361" s="611"/>
      <c r="H361" s="611"/>
      <c r="I361" s="611"/>
      <c r="J361" s="612"/>
    </row>
    <row r="362" spans="1:10" ht="12.75" customHeight="1" x14ac:dyDescent="0.2">
      <c r="A362" s="610"/>
      <c r="B362" s="611"/>
      <c r="C362" s="611"/>
      <c r="D362" s="611"/>
      <c r="E362" s="611"/>
      <c r="F362" s="611"/>
      <c r="G362" s="611"/>
      <c r="H362" s="611"/>
      <c r="I362" s="611"/>
      <c r="J362" s="612"/>
    </row>
    <row r="363" spans="1:10" ht="12.75" customHeight="1" x14ac:dyDescent="0.2">
      <c r="A363" s="610"/>
      <c r="B363" s="611"/>
      <c r="C363" s="611"/>
      <c r="D363" s="611"/>
      <c r="E363" s="611"/>
      <c r="F363" s="611"/>
      <c r="G363" s="611"/>
      <c r="H363" s="611"/>
      <c r="I363" s="611"/>
      <c r="J363" s="612"/>
    </row>
    <row r="364" spans="1:10" ht="12.75" customHeight="1" x14ac:dyDescent="0.2">
      <c r="A364" s="610"/>
      <c r="B364" s="611"/>
      <c r="C364" s="611"/>
      <c r="D364" s="611"/>
      <c r="E364" s="611"/>
      <c r="F364" s="611"/>
      <c r="G364" s="611"/>
      <c r="H364" s="611"/>
      <c r="I364" s="611"/>
      <c r="J364" s="612"/>
    </row>
    <row r="365" spans="1:10" ht="12.75" customHeight="1" x14ac:dyDescent="0.2">
      <c r="A365" s="610"/>
      <c r="B365" s="611"/>
      <c r="C365" s="611"/>
      <c r="D365" s="611"/>
      <c r="E365" s="611"/>
      <c r="F365" s="611"/>
      <c r="G365" s="611"/>
      <c r="H365" s="611"/>
      <c r="I365" s="611"/>
      <c r="J365" s="612"/>
    </row>
    <row r="366" spans="1:10" ht="12.75" customHeight="1" x14ac:dyDescent="0.2">
      <c r="A366" s="610"/>
      <c r="B366" s="611"/>
      <c r="C366" s="611"/>
      <c r="D366" s="611"/>
      <c r="E366" s="611"/>
      <c r="F366" s="611"/>
      <c r="G366" s="611"/>
      <c r="H366" s="611"/>
      <c r="I366" s="611"/>
      <c r="J366" s="612"/>
    </row>
    <row r="367" spans="1:10" ht="12.75" customHeight="1" x14ac:dyDescent="0.2">
      <c r="A367" s="610"/>
      <c r="B367" s="611"/>
      <c r="C367" s="611"/>
      <c r="D367" s="611"/>
      <c r="E367" s="611"/>
      <c r="F367" s="611"/>
      <c r="G367" s="611"/>
      <c r="H367" s="611"/>
      <c r="I367" s="611"/>
      <c r="J367" s="612"/>
    </row>
    <row r="368" spans="1:10" ht="12.75" customHeight="1" x14ac:dyDescent="0.2">
      <c r="A368" s="610"/>
      <c r="B368" s="611"/>
      <c r="C368" s="611"/>
      <c r="D368" s="611"/>
      <c r="E368" s="611"/>
      <c r="F368" s="611"/>
      <c r="G368" s="611"/>
      <c r="H368" s="611"/>
      <c r="I368" s="611"/>
      <c r="J368" s="612"/>
    </row>
    <row r="369" spans="1:10" ht="12.75" customHeight="1" x14ac:dyDescent="0.2">
      <c r="A369" s="610"/>
      <c r="B369" s="611"/>
      <c r="C369" s="611"/>
      <c r="D369" s="611"/>
      <c r="E369" s="611"/>
      <c r="F369" s="611"/>
      <c r="G369" s="611"/>
      <c r="H369" s="611"/>
      <c r="I369" s="611"/>
      <c r="J369" s="612"/>
    </row>
    <row r="370" spans="1:10" ht="12.75" customHeight="1" x14ac:dyDescent="0.2">
      <c r="A370" s="610"/>
      <c r="B370" s="611"/>
      <c r="C370" s="611"/>
      <c r="D370" s="611"/>
      <c r="E370" s="611"/>
      <c r="F370" s="611"/>
      <c r="G370" s="611"/>
      <c r="H370" s="611"/>
      <c r="I370" s="611"/>
      <c r="J370" s="612"/>
    </row>
    <row r="371" spans="1:10" ht="12.75" customHeight="1" x14ac:dyDescent="0.2">
      <c r="A371" s="610"/>
      <c r="B371" s="611"/>
      <c r="C371" s="611"/>
      <c r="D371" s="611"/>
      <c r="E371" s="611"/>
      <c r="F371" s="611"/>
      <c r="G371" s="611"/>
      <c r="H371" s="611"/>
      <c r="I371" s="611"/>
      <c r="J371" s="612"/>
    </row>
    <row r="372" spans="1:10" ht="12.75" customHeight="1" x14ac:dyDescent="0.2">
      <c r="A372" s="610"/>
      <c r="B372" s="611"/>
      <c r="C372" s="611"/>
      <c r="D372" s="611"/>
      <c r="E372" s="611"/>
      <c r="F372" s="611"/>
      <c r="G372" s="611"/>
      <c r="H372" s="611"/>
      <c r="I372" s="611"/>
      <c r="J372" s="612"/>
    </row>
    <row r="373" spans="1:10" ht="12.75" customHeight="1" x14ac:dyDescent="0.2">
      <c r="A373" s="610"/>
      <c r="B373" s="611"/>
      <c r="C373" s="611"/>
      <c r="D373" s="611"/>
      <c r="E373" s="611"/>
      <c r="F373" s="611"/>
      <c r="G373" s="611"/>
      <c r="H373" s="611"/>
      <c r="I373" s="611"/>
      <c r="J373" s="612"/>
    </row>
    <row r="374" spans="1:10" ht="12.75" customHeight="1" x14ac:dyDescent="0.2">
      <c r="A374" s="610"/>
      <c r="B374" s="611"/>
      <c r="C374" s="611"/>
      <c r="D374" s="611"/>
      <c r="E374" s="611"/>
      <c r="F374" s="611"/>
      <c r="G374" s="611"/>
      <c r="H374" s="611"/>
      <c r="I374" s="611"/>
      <c r="J374" s="612"/>
    </row>
    <row r="375" spans="1:10" ht="12.75" customHeight="1" x14ac:dyDescent="0.2">
      <c r="A375" s="610"/>
      <c r="B375" s="611"/>
      <c r="C375" s="611"/>
      <c r="D375" s="611"/>
      <c r="E375" s="611"/>
      <c r="F375" s="611"/>
      <c r="G375" s="611"/>
      <c r="H375" s="611"/>
      <c r="I375" s="611"/>
      <c r="J375" s="612"/>
    </row>
    <row r="376" spans="1:10" ht="12.75" customHeight="1" x14ac:dyDescent="0.2">
      <c r="A376" s="610"/>
      <c r="B376" s="611"/>
      <c r="C376" s="611"/>
      <c r="D376" s="611"/>
      <c r="E376" s="611"/>
      <c r="F376" s="611"/>
      <c r="G376" s="611"/>
      <c r="H376" s="611"/>
      <c r="I376" s="611"/>
      <c r="J376" s="612"/>
    </row>
    <row r="377" spans="1:10" ht="12.75" customHeight="1" x14ac:dyDescent="0.2">
      <c r="A377" s="610"/>
      <c r="B377" s="611"/>
      <c r="C377" s="611"/>
      <c r="D377" s="611"/>
      <c r="E377" s="611"/>
      <c r="F377" s="611"/>
      <c r="G377" s="611"/>
      <c r="H377" s="611"/>
      <c r="I377" s="611"/>
      <c r="J377" s="612"/>
    </row>
    <row r="378" spans="1:10" ht="12.75" customHeight="1" x14ac:dyDescent="0.2">
      <c r="A378" s="610"/>
      <c r="B378" s="611"/>
      <c r="C378" s="611"/>
      <c r="D378" s="611"/>
      <c r="E378" s="611"/>
      <c r="F378" s="611"/>
      <c r="G378" s="611"/>
      <c r="H378" s="611"/>
      <c r="I378" s="611"/>
      <c r="J378" s="612"/>
    </row>
    <row r="379" spans="1:10" s="61" customFormat="1" x14ac:dyDescent="0.2">
      <c r="A379" s="55"/>
      <c r="B379" s="56"/>
      <c r="C379" s="57"/>
      <c r="D379" s="58"/>
      <c r="E379" s="58"/>
      <c r="F379" s="58"/>
      <c r="G379" s="58"/>
      <c r="H379" s="59"/>
      <c r="I379" s="57"/>
      <c r="J379" s="60"/>
    </row>
    <row r="380" spans="1:10" s="61" customFormat="1" ht="25.5" customHeight="1" x14ac:dyDescent="0.2">
      <c r="A380" s="602" t="s">
        <v>176</v>
      </c>
      <c r="B380" s="603"/>
      <c r="C380" s="603"/>
      <c r="D380" s="603"/>
      <c r="E380" s="603"/>
      <c r="F380" s="603"/>
      <c r="G380" s="603"/>
      <c r="H380" s="603"/>
      <c r="I380" s="603"/>
      <c r="J380" s="604"/>
    </row>
    <row r="381" spans="1:10" s="61" customFormat="1" ht="12.75" customHeight="1" x14ac:dyDescent="0.2">
      <c r="A381" s="348" t="s">
        <v>178</v>
      </c>
      <c r="B381" s="349"/>
      <c r="C381" s="349"/>
      <c r="D381" s="349"/>
      <c r="E381" s="349"/>
      <c r="F381" s="614"/>
      <c r="G381" s="614"/>
      <c r="H381" s="614"/>
      <c r="I381" s="614"/>
      <c r="J381" s="615"/>
    </row>
    <row r="382" spans="1:10" ht="12.75" customHeight="1" x14ac:dyDescent="0.2">
      <c r="A382" s="593" t="s">
        <v>370</v>
      </c>
      <c r="B382" s="594"/>
      <c r="C382" s="594"/>
      <c r="D382" s="594"/>
      <c r="E382" s="594"/>
      <c r="F382" s="594"/>
      <c r="G382" s="594"/>
      <c r="H382" s="594"/>
      <c r="I382" s="594"/>
      <c r="J382" s="595"/>
    </row>
    <row r="383" spans="1:10" ht="12.75" customHeight="1" x14ac:dyDescent="0.2">
      <c r="A383" s="596"/>
      <c r="B383" s="597"/>
      <c r="C383" s="597"/>
      <c r="D383" s="597"/>
      <c r="E383" s="597"/>
      <c r="F383" s="597"/>
      <c r="G383" s="597"/>
      <c r="H383" s="597"/>
      <c r="I383" s="597"/>
      <c r="J383" s="598"/>
    </row>
    <row r="384" spans="1:10" ht="12.75" customHeight="1" x14ac:dyDescent="0.2">
      <c r="A384" s="596"/>
      <c r="B384" s="597"/>
      <c r="C384" s="597"/>
      <c r="D384" s="597"/>
      <c r="E384" s="597"/>
      <c r="F384" s="597"/>
      <c r="G384" s="597"/>
      <c r="H384" s="597"/>
      <c r="I384" s="597"/>
      <c r="J384" s="598"/>
    </row>
    <row r="385" spans="1:10" ht="15" customHeight="1" x14ac:dyDescent="0.2">
      <c r="A385" s="599"/>
      <c r="B385" s="600"/>
      <c r="C385" s="600"/>
      <c r="D385" s="600"/>
      <c r="E385" s="600"/>
      <c r="F385" s="600"/>
      <c r="G385" s="600"/>
      <c r="H385" s="600"/>
      <c r="I385" s="600"/>
      <c r="J385" s="601"/>
    </row>
    <row r="386" spans="1:10" ht="12.75" customHeight="1" x14ac:dyDescent="0.2">
      <c r="A386" s="610"/>
      <c r="B386" s="611"/>
      <c r="C386" s="611"/>
      <c r="D386" s="611"/>
      <c r="E386" s="611"/>
      <c r="F386" s="611"/>
      <c r="G386" s="611"/>
      <c r="H386" s="611"/>
      <c r="I386" s="611"/>
      <c r="J386" s="612"/>
    </row>
    <row r="387" spans="1:10" ht="12.75" customHeight="1" x14ac:dyDescent="0.2">
      <c r="A387" s="610"/>
      <c r="B387" s="611"/>
      <c r="C387" s="611"/>
      <c r="D387" s="611"/>
      <c r="E387" s="611"/>
      <c r="F387" s="611"/>
      <c r="G387" s="611"/>
      <c r="H387" s="611"/>
      <c r="I387" s="611"/>
      <c r="J387" s="612"/>
    </row>
    <row r="388" spans="1:10" ht="12.75" customHeight="1" x14ac:dyDescent="0.2">
      <c r="A388" s="610"/>
      <c r="B388" s="611"/>
      <c r="C388" s="611"/>
      <c r="D388" s="611"/>
      <c r="E388" s="611"/>
      <c r="F388" s="611"/>
      <c r="G388" s="611"/>
      <c r="H388" s="611"/>
      <c r="I388" s="611"/>
      <c r="J388" s="612"/>
    </row>
    <row r="389" spans="1:10" ht="12.75" customHeight="1" x14ac:dyDescent="0.2">
      <c r="A389" s="610"/>
      <c r="B389" s="611"/>
      <c r="C389" s="611"/>
      <c r="D389" s="611"/>
      <c r="E389" s="611"/>
      <c r="F389" s="611"/>
      <c r="G389" s="611"/>
      <c r="H389" s="611"/>
      <c r="I389" s="611"/>
      <c r="J389" s="612"/>
    </row>
    <row r="390" spans="1:10" ht="12.75" customHeight="1" x14ac:dyDescent="0.2">
      <c r="A390" s="610"/>
      <c r="B390" s="611"/>
      <c r="C390" s="611"/>
      <c r="D390" s="611"/>
      <c r="E390" s="611"/>
      <c r="F390" s="611"/>
      <c r="G390" s="611"/>
      <c r="H390" s="611"/>
      <c r="I390" s="611"/>
      <c r="J390" s="612"/>
    </row>
    <row r="391" spans="1:10" ht="12.75" customHeight="1" x14ac:dyDescent="0.2">
      <c r="A391" s="610"/>
      <c r="B391" s="611"/>
      <c r="C391" s="611"/>
      <c r="D391" s="611"/>
      <c r="E391" s="611"/>
      <c r="F391" s="611"/>
      <c r="G391" s="611"/>
      <c r="H391" s="611"/>
      <c r="I391" s="611"/>
      <c r="J391" s="612"/>
    </row>
    <row r="392" spans="1:10" ht="12.75" customHeight="1" x14ac:dyDescent="0.2">
      <c r="A392" s="610"/>
      <c r="B392" s="611"/>
      <c r="C392" s="611"/>
      <c r="D392" s="611"/>
      <c r="E392" s="611"/>
      <c r="F392" s="611"/>
      <c r="G392" s="611"/>
      <c r="H392" s="611"/>
      <c r="I392" s="611"/>
      <c r="J392" s="612"/>
    </row>
    <row r="393" spans="1:10" ht="12.75" customHeight="1" x14ac:dyDescent="0.2">
      <c r="A393" s="610"/>
      <c r="B393" s="611"/>
      <c r="C393" s="611"/>
      <c r="D393" s="611"/>
      <c r="E393" s="611"/>
      <c r="F393" s="611"/>
      <c r="G393" s="611"/>
      <c r="H393" s="611"/>
      <c r="I393" s="611"/>
      <c r="J393" s="612"/>
    </row>
    <row r="394" spans="1:10" ht="12.75" customHeight="1" x14ac:dyDescent="0.2">
      <c r="A394" s="610"/>
      <c r="B394" s="611"/>
      <c r="C394" s="611"/>
      <c r="D394" s="611"/>
      <c r="E394" s="611"/>
      <c r="F394" s="611"/>
      <c r="G394" s="611"/>
      <c r="H394" s="611"/>
      <c r="I394" s="611"/>
      <c r="J394" s="612"/>
    </row>
    <row r="395" spans="1:10" ht="12.75" customHeight="1" x14ac:dyDescent="0.2">
      <c r="A395" s="610"/>
      <c r="B395" s="611"/>
      <c r="C395" s="611"/>
      <c r="D395" s="611"/>
      <c r="E395" s="611"/>
      <c r="F395" s="611"/>
      <c r="G395" s="611"/>
      <c r="H395" s="611"/>
      <c r="I395" s="611"/>
      <c r="J395" s="612"/>
    </row>
    <row r="396" spans="1:10" ht="12.75" customHeight="1" x14ac:dyDescent="0.2">
      <c r="A396" s="610"/>
      <c r="B396" s="611"/>
      <c r="C396" s="611"/>
      <c r="D396" s="611"/>
      <c r="E396" s="611"/>
      <c r="F396" s="611"/>
      <c r="G396" s="611"/>
      <c r="H396" s="611"/>
      <c r="I396" s="611"/>
      <c r="J396" s="612"/>
    </row>
    <row r="397" spans="1:10" ht="12.75" customHeight="1" x14ac:dyDescent="0.2">
      <c r="A397" s="610"/>
      <c r="B397" s="611"/>
      <c r="C397" s="611"/>
      <c r="D397" s="611"/>
      <c r="E397" s="611"/>
      <c r="F397" s="611"/>
      <c r="G397" s="611"/>
      <c r="H397" s="611"/>
      <c r="I397" s="611"/>
      <c r="J397" s="612"/>
    </row>
    <row r="398" spans="1:10" ht="12.75" customHeight="1" x14ac:dyDescent="0.2">
      <c r="A398" s="610"/>
      <c r="B398" s="611"/>
      <c r="C398" s="611"/>
      <c r="D398" s="611"/>
      <c r="E398" s="611"/>
      <c r="F398" s="611"/>
      <c r="G398" s="611"/>
      <c r="H398" s="611"/>
      <c r="I398" s="611"/>
      <c r="J398" s="612"/>
    </row>
    <row r="399" spans="1:10" ht="12.75" customHeight="1" x14ac:dyDescent="0.2">
      <c r="A399" s="610"/>
      <c r="B399" s="611"/>
      <c r="C399" s="611"/>
      <c r="D399" s="611"/>
      <c r="E399" s="611"/>
      <c r="F399" s="611"/>
      <c r="G399" s="611"/>
      <c r="H399" s="611"/>
      <c r="I399" s="611"/>
      <c r="J399" s="612"/>
    </row>
    <row r="400" spans="1:10" ht="12.75" customHeight="1" x14ac:dyDescent="0.2">
      <c r="A400" s="610"/>
      <c r="B400" s="611"/>
      <c r="C400" s="611"/>
      <c r="D400" s="611"/>
      <c r="E400" s="611"/>
      <c r="F400" s="611"/>
      <c r="G400" s="611"/>
      <c r="H400" s="611"/>
      <c r="I400" s="611"/>
      <c r="J400" s="612"/>
    </row>
    <row r="401" spans="1:10" ht="12.75" customHeight="1" x14ac:dyDescent="0.2">
      <c r="A401" s="610"/>
      <c r="B401" s="611"/>
      <c r="C401" s="611"/>
      <c r="D401" s="611"/>
      <c r="E401" s="611"/>
      <c r="F401" s="611"/>
      <c r="G401" s="611"/>
      <c r="H401" s="611"/>
      <c r="I401" s="611"/>
      <c r="J401" s="612"/>
    </row>
    <row r="402" spans="1:10" ht="12.75" customHeight="1" x14ac:dyDescent="0.2">
      <c r="A402" s="610"/>
      <c r="B402" s="611"/>
      <c r="C402" s="611"/>
      <c r="D402" s="611"/>
      <c r="E402" s="611"/>
      <c r="F402" s="611"/>
      <c r="G402" s="611"/>
      <c r="H402" s="611"/>
      <c r="I402" s="611"/>
      <c r="J402" s="612"/>
    </row>
    <row r="403" spans="1:10" ht="12.75" customHeight="1" x14ac:dyDescent="0.2">
      <c r="A403" s="610"/>
      <c r="B403" s="611"/>
      <c r="C403" s="611"/>
      <c r="D403" s="611"/>
      <c r="E403" s="611"/>
      <c r="F403" s="611"/>
      <c r="G403" s="611"/>
      <c r="H403" s="611"/>
      <c r="I403" s="611"/>
      <c r="J403" s="612"/>
    </row>
    <row r="404" spans="1:10" ht="12.75" customHeight="1" x14ac:dyDescent="0.2">
      <c r="A404" s="610"/>
      <c r="B404" s="611"/>
      <c r="C404" s="611"/>
      <c r="D404" s="611"/>
      <c r="E404" s="611"/>
      <c r="F404" s="611"/>
      <c r="G404" s="611"/>
      <c r="H404" s="611"/>
      <c r="I404" s="611"/>
      <c r="J404" s="612"/>
    </row>
    <row r="405" spans="1:10" ht="12.75" customHeight="1" x14ac:dyDescent="0.2">
      <c r="A405" s="610"/>
      <c r="B405" s="611"/>
      <c r="C405" s="611"/>
      <c r="D405" s="611"/>
      <c r="E405" s="611"/>
      <c r="F405" s="611"/>
      <c r="G405" s="611"/>
      <c r="H405" s="611"/>
      <c r="I405" s="611"/>
      <c r="J405" s="612"/>
    </row>
    <row r="406" spans="1:10" ht="12.75" customHeight="1" x14ac:dyDescent="0.2">
      <c r="A406" s="610"/>
      <c r="B406" s="611"/>
      <c r="C406" s="611"/>
      <c r="D406" s="611"/>
      <c r="E406" s="611"/>
      <c r="F406" s="611"/>
      <c r="G406" s="611"/>
      <c r="H406" s="611"/>
      <c r="I406" s="611"/>
      <c r="J406" s="612"/>
    </row>
    <row r="407" spans="1:10" ht="12.75" customHeight="1" x14ac:dyDescent="0.2">
      <c r="A407" s="610"/>
      <c r="B407" s="611"/>
      <c r="C407" s="611"/>
      <c r="D407" s="611"/>
      <c r="E407" s="611"/>
      <c r="F407" s="611"/>
      <c r="G407" s="611"/>
      <c r="H407" s="611"/>
      <c r="I407" s="611"/>
      <c r="J407" s="612"/>
    </row>
    <row r="408" spans="1:10" ht="12.75" customHeight="1" x14ac:dyDescent="0.2">
      <c r="A408" s="610"/>
      <c r="B408" s="611"/>
      <c r="C408" s="611"/>
      <c r="D408" s="611"/>
      <c r="E408" s="611"/>
      <c r="F408" s="611"/>
      <c r="G408" s="611"/>
      <c r="H408" s="611"/>
      <c r="I408" s="611"/>
      <c r="J408" s="612"/>
    </row>
    <row r="409" spans="1:10" ht="12.75" customHeight="1" x14ac:dyDescent="0.2">
      <c r="A409" s="610"/>
      <c r="B409" s="611"/>
      <c r="C409" s="611"/>
      <c r="D409" s="611"/>
      <c r="E409" s="611"/>
      <c r="F409" s="611"/>
      <c r="G409" s="611"/>
      <c r="H409" s="611"/>
      <c r="I409" s="611"/>
      <c r="J409" s="612"/>
    </row>
    <row r="410" spans="1:10" ht="12.75" customHeight="1" x14ac:dyDescent="0.2">
      <c r="A410" s="610"/>
      <c r="B410" s="611"/>
      <c r="C410" s="611"/>
      <c r="D410" s="611"/>
      <c r="E410" s="611"/>
      <c r="F410" s="611"/>
      <c r="G410" s="611"/>
      <c r="H410" s="611"/>
      <c r="I410" s="611"/>
      <c r="J410" s="612"/>
    </row>
    <row r="411" spans="1:10" ht="12.75" customHeight="1" x14ac:dyDescent="0.2">
      <c r="A411" s="610"/>
      <c r="B411" s="611"/>
      <c r="C411" s="611"/>
      <c r="D411" s="611"/>
      <c r="E411" s="611"/>
      <c r="F411" s="611"/>
      <c r="G411" s="611"/>
      <c r="H411" s="611"/>
      <c r="I411" s="611"/>
      <c r="J411" s="612"/>
    </row>
    <row r="412" spans="1:10" ht="12.75" customHeight="1" x14ac:dyDescent="0.2">
      <c r="A412" s="610"/>
      <c r="B412" s="611"/>
      <c r="C412" s="611"/>
      <c r="D412" s="611"/>
      <c r="E412" s="611"/>
      <c r="F412" s="611"/>
      <c r="G412" s="611"/>
      <c r="H412" s="611"/>
      <c r="I412" s="611"/>
      <c r="J412" s="612"/>
    </row>
    <row r="413" spans="1:10" ht="12.75" customHeight="1" x14ac:dyDescent="0.2">
      <c r="A413" s="610"/>
      <c r="B413" s="611"/>
      <c r="C413" s="611"/>
      <c r="D413" s="611"/>
      <c r="E413" s="611"/>
      <c r="F413" s="611"/>
      <c r="G413" s="611"/>
      <c r="H413" s="611"/>
      <c r="I413" s="611"/>
      <c r="J413" s="612"/>
    </row>
    <row r="414" spans="1:10" ht="12.75" customHeight="1" x14ac:dyDescent="0.2">
      <c r="A414" s="610"/>
      <c r="B414" s="611"/>
      <c r="C414" s="611"/>
      <c r="D414" s="611"/>
      <c r="E414" s="611"/>
      <c r="F414" s="611"/>
      <c r="G414" s="611"/>
      <c r="H414" s="611"/>
      <c r="I414" s="611"/>
      <c r="J414" s="612"/>
    </row>
    <row r="415" spans="1:10" ht="12.75" customHeight="1" x14ac:dyDescent="0.2">
      <c r="A415" s="610"/>
      <c r="B415" s="611"/>
      <c r="C415" s="611"/>
      <c r="D415" s="611"/>
      <c r="E415" s="611"/>
      <c r="F415" s="611"/>
      <c r="G415" s="611"/>
      <c r="H415" s="611"/>
      <c r="I415" s="611"/>
      <c r="J415" s="612"/>
    </row>
    <row r="416" spans="1:10" ht="12.75" customHeight="1" x14ac:dyDescent="0.2">
      <c r="A416" s="610"/>
      <c r="B416" s="611"/>
      <c r="C416" s="611"/>
      <c r="D416" s="611"/>
      <c r="E416" s="611"/>
      <c r="F416" s="611"/>
      <c r="G416" s="611"/>
      <c r="H416" s="611"/>
      <c r="I416" s="611"/>
      <c r="J416" s="612"/>
    </row>
    <row r="417" spans="1:10" ht="12.75" customHeight="1" x14ac:dyDescent="0.2">
      <c r="A417" s="610"/>
      <c r="B417" s="611"/>
      <c r="C417" s="611"/>
      <c r="D417" s="611"/>
      <c r="E417" s="611"/>
      <c r="F417" s="611"/>
      <c r="G417" s="611"/>
      <c r="H417" s="611"/>
      <c r="I417" s="611"/>
      <c r="J417" s="612"/>
    </row>
    <row r="418" spans="1:10" ht="12.75" customHeight="1" x14ac:dyDescent="0.2">
      <c r="A418" s="610"/>
      <c r="B418" s="611"/>
      <c r="C418" s="611"/>
      <c r="D418" s="611"/>
      <c r="E418" s="611"/>
      <c r="F418" s="611"/>
      <c r="G418" s="611"/>
      <c r="H418" s="611"/>
      <c r="I418" s="611"/>
      <c r="J418" s="612"/>
    </row>
    <row r="419" spans="1:10" ht="12.75" customHeight="1" x14ac:dyDescent="0.2">
      <c r="A419" s="610"/>
      <c r="B419" s="611"/>
      <c r="C419" s="611"/>
      <c r="D419" s="611"/>
      <c r="E419" s="611"/>
      <c r="F419" s="611"/>
      <c r="G419" s="611"/>
      <c r="H419" s="611"/>
      <c r="I419" s="611"/>
      <c r="J419" s="612"/>
    </row>
  </sheetData>
  <sheetProtection password="E686" sheet="1" formatRows="0"/>
  <mergeCells count="53">
    <mergeCell ref="A1:J2"/>
    <mergeCell ref="A3:J5"/>
    <mergeCell ref="A6:J10"/>
    <mergeCell ref="A12:J12"/>
    <mergeCell ref="A13:E13"/>
    <mergeCell ref="F13:J13"/>
    <mergeCell ref="A92:J126"/>
    <mergeCell ref="A14:J17"/>
    <mergeCell ref="A18:J42"/>
    <mergeCell ref="A44:J44"/>
    <mergeCell ref="A45:E45"/>
    <mergeCell ref="F45:J45"/>
    <mergeCell ref="A46:J49"/>
    <mergeCell ref="A50:J84"/>
    <mergeCell ref="A86:J86"/>
    <mergeCell ref="A87:E87"/>
    <mergeCell ref="F87:J87"/>
    <mergeCell ref="A88:J91"/>
    <mergeCell ref="A213:E213"/>
    <mergeCell ref="F213:J213"/>
    <mergeCell ref="A128:J128"/>
    <mergeCell ref="A129:E129"/>
    <mergeCell ref="F129:J129"/>
    <mergeCell ref="A130:J133"/>
    <mergeCell ref="A134:J168"/>
    <mergeCell ref="A170:J170"/>
    <mergeCell ref="A171:E171"/>
    <mergeCell ref="F171:J171"/>
    <mergeCell ref="A172:J175"/>
    <mergeCell ref="A176:J210"/>
    <mergeCell ref="A212:J212"/>
    <mergeCell ref="A302:J336"/>
    <mergeCell ref="A214:J217"/>
    <mergeCell ref="A218:J252"/>
    <mergeCell ref="A254:J254"/>
    <mergeCell ref="A255:E255"/>
    <mergeCell ref="F255:J255"/>
    <mergeCell ref="A256:J259"/>
    <mergeCell ref="A260:J294"/>
    <mergeCell ref="A296:J296"/>
    <mergeCell ref="A297:E297"/>
    <mergeCell ref="F297:J297"/>
    <mergeCell ref="A298:J301"/>
    <mergeCell ref="A381:E381"/>
    <mergeCell ref="F381:J381"/>
    <mergeCell ref="A382:J385"/>
    <mergeCell ref="A386:J419"/>
    <mergeCell ref="A338:J338"/>
    <mergeCell ref="A339:E339"/>
    <mergeCell ref="F339:J339"/>
    <mergeCell ref="A340:J343"/>
    <mergeCell ref="A344:J378"/>
    <mergeCell ref="A380:J380"/>
  </mergeCells>
  <dataValidations disablePrompts="1" count="3">
    <dataValidation type="textLength" operator="lessThan" allowBlank="1" showInputMessage="1" showErrorMessage="1" errorTitle="Too Much Text" error="Provide a brief description using no more than 100 characters here.  A more full description should be included within the narrative (tab 9)." sqref="G18:J42 G50:J84 G386:J419 G344:J378 G302:J336 G260:J294 G218:J252 G176:J210 G134:J168 G92:J126">
      <formula1>101</formula1>
    </dataValidation>
    <dataValidation allowBlank="1" showInputMessage="1" showErrorMessage="1" promptTitle="Total Amount" prompt="Input the total amount of these funds being used to fund this individual's salary and benefits." sqref="F18:F42 F50:F84 F386:F419 F344:F378 F302:F336 F260:F294 F218:F252 F176:F210 F134:F168 F92:F126"/>
    <dataValidation type="list" allowBlank="1" showInputMessage="1" showErrorMessage="1" sqref="E18:E42 E50:E84 E386:E419 E344:E378 E302:E336 E260:E294 E218:E252 E176:E210 E134:E168 E92:E126">
      <formula1>program</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N214"/>
  <sheetViews>
    <sheetView zoomScaleNormal="100" workbookViewId="0">
      <selection activeCell="A15" sqref="A15:B15"/>
    </sheetView>
  </sheetViews>
  <sheetFormatPr defaultColWidth="9.140625" defaultRowHeight="12.75" x14ac:dyDescent="0.2"/>
  <cols>
    <col min="1" max="10" width="15.7109375" style="1" customWidth="1"/>
    <col min="11" max="11" width="20.5703125" style="1" customWidth="1"/>
    <col min="12" max="13" width="9.140625" style="1" hidden="1" customWidth="1"/>
    <col min="14" max="14" width="9.140625" style="1" customWidth="1"/>
    <col min="15" max="16384" width="9.140625" style="1"/>
  </cols>
  <sheetData>
    <row r="1" spans="1:14" x14ac:dyDescent="0.2">
      <c r="A1" s="792" t="s">
        <v>192</v>
      </c>
      <c r="B1" s="793"/>
      <c r="C1" s="793"/>
      <c r="D1" s="793"/>
      <c r="E1" s="793"/>
      <c r="F1" s="793"/>
      <c r="G1" s="793"/>
      <c r="H1" s="793"/>
      <c r="I1" s="793"/>
      <c r="J1" s="793"/>
      <c r="K1" s="794"/>
    </row>
    <row r="2" spans="1:14" x14ac:dyDescent="0.2">
      <c r="A2" s="795"/>
      <c r="B2" s="796"/>
      <c r="C2" s="796"/>
      <c r="D2" s="796"/>
      <c r="E2" s="796"/>
      <c r="F2" s="796"/>
      <c r="G2" s="796"/>
      <c r="H2" s="796"/>
      <c r="I2" s="796"/>
      <c r="J2" s="796"/>
      <c r="K2" s="797"/>
    </row>
    <row r="3" spans="1:14" ht="12.75" customHeight="1" x14ac:dyDescent="0.2">
      <c r="A3" s="741" t="s">
        <v>372</v>
      </c>
      <c r="B3" s="544"/>
      <c r="C3" s="544"/>
      <c r="D3" s="544"/>
      <c r="E3" s="544"/>
      <c r="F3" s="544"/>
      <c r="G3" s="544"/>
      <c r="H3" s="544"/>
      <c r="I3" s="544"/>
      <c r="J3" s="544"/>
      <c r="K3" s="742"/>
    </row>
    <row r="4" spans="1:14" x14ac:dyDescent="0.2">
      <c r="A4" s="745"/>
      <c r="B4" s="547"/>
      <c r="C4" s="547"/>
      <c r="D4" s="547"/>
      <c r="E4" s="547"/>
      <c r="F4" s="547"/>
      <c r="G4" s="547"/>
      <c r="H4" s="547"/>
      <c r="I4" s="547"/>
      <c r="J4" s="547"/>
      <c r="K4" s="746"/>
    </row>
    <row r="5" spans="1:14" ht="18" customHeight="1" x14ac:dyDescent="0.2">
      <c r="A5" s="676" t="s">
        <v>40</v>
      </c>
      <c r="B5" s="676"/>
      <c r="C5" s="676"/>
      <c r="D5" s="676"/>
      <c r="E5" s="676"/>
      <c r="F5" s="676"/>
      <c r="G5" s="676"/>
      <c r="H5" s="676"/>
      <c r="I5" s="676"/>
      <c r="J5" s="676"/>
      <c r="K5" s="676"/>
    </row>
    <row r="6" spans="1:14" ht="18" customHeight="1" x14ac:dyDescent="0.2">
      <c r="A6" s="676"/>
      <c r="B6" s="676"/>
      <c r="C6" s="676"/>
      <c r="D6" s="676"/>
      <c r="E6" s="676"/>
      <c r="F6" s="676"/>
      <c r="G6" s="676"/>
      <c r="H6" s="676"/>
      <c r="I6" s="676"/>
      <c r="J6" s="676"/>
      <c r="K6" s="676"/>
    </row>
    <row r="7" spans="1:14" ht="15" customHeight="1" x14ac:dyDescent="0.2">
      <c r="A7" s="666" t="s">
        <v>41</v>
      </c>
      <c r="B7" s="655"/>
      <c r="C7" s="662" t="s">
        <v>42</v>
      </c>
      <c r="D7" s="662" t="s">
        <v>140</v>
      </c>
      <c r="E7" s="662" t="s">
        <v>139</v>
      </c>
      <c r="F7" s="678" t="s">
        <v>102</v>
      </c>
      <c r="G7" s="665" t="s">
        <v>103</v>
      </c>
      <c r="H7" s="666" t="s">
        <v>48</v>
      </c>
      <c r="I7" s="654"/>
      <c r="J7" s="654"/>
      <c r="K7" s="655"/>
    </row>
    <row r="8" spans="1:14" ht="15" customHeight="1" x14ac:dyDescent="0.2">
      <c r="A8" s="668"/>
      <c r="B8" s="658"/>
      <c r="C8" s="663"/>
      <c r="D8" s="663"/>
      <c r="E8" s="663"/>
      <c r="F8" s="679"/>
      <c r="G8" s="665"/>
      <c r="H8" s="668"/>
      <c r="I8" s="657"/>
      <c r="J8" s="657"/>
      <c r="K8" s="658"/>
    </row>
    <row r="9" spans="1:14" ht="15" customHeight="1" x14ac:dyDescent="0.2">
      <c r="A9" s="668"/>
      <c r="B9" s="658"/>
      <c r="C9" s="663"/>
      <c r="D9" s="663"/>
      <c r="E9" s="663"/>
      <c r="F9" s="679"/>
      <c r="G9" s="665"/>
      <c r="H9" s="668"/>
      <c r="I9" s="657"/>
      <c r="J9" s="657"/>
      <c r="K9" s="658"/>
    </row>
    <row r="10" spans="1:14" ht="15" customHeight="1" x14ac:dyDescent="0.2">
      <c r="A10" s="668"/>
      <c r="B10" s="658"/>
      <c r="C10" s="663"/>
      <c r="D10" s="663"/>
      <c r="E10" s="663"/>
      <c r="F10" s="679"/>
      <c r="G10" s="665"/>
      <c r="H10" s="668"/>
      <c r="I10" s="657"/>
      <c r="J10" s="657"/>
      <c r="K10" s="658"/>
    </row>
    <row r="11" spans="1:14" ht="15" customHeight="1" x14ac:dyDescent="0.2">
      <c r="A11" s="668"/>
      <c r="B11" s="658"/>
      <c r="C11" s="663"/>
      <c r="D11" s="663"/>
      <c r="E11" s="663"/>
      <c r="F11" s="679"/>
      <c r="G11" s="665"/>
      <c r="H11" s="668"/>
      <c r="I11" s="657"/>
      <c r="J11" s="657"/>
      <c r="K11" s="658"/>
    </row>
    <row r="12" spans="1:14" ht="15" customHeight="1" x14ac:dyDescent="0.2">
      <c r="A12" s="668"/>
      <c r="B12" s="658"/>
      <c r="C12" s="663"/>
      <c r="D12" s="663"/>
      <c r="E12" s="663"/>
      <c r="F12" s="679"/>
      <c r="G12" s="665"/>
      <c r="H12" s="668"/>
      <c r="I12" s="657"/>
      <c r="J12" s="657"/>
      <c r="K12" s="658"/>
    </row>
    <row r="13" spans="1:14" ht="14.25" customHeight="1" x14ac:dyDescent="0.2">
      <c r="A13" s="670"/>
      <c r="B13" s="661"/>
      <c r="C13" s="664"/>
      <c r="D13" s="664"/>
      <c r="E13" s="664"/>
      <c r="F13" s="680"/>
      <c r="G13" s="665"/>
      <c r="H13" s="670"/>
      <c r="I13" s="660"/>
      <c r="J13" s="660"/>
      <c r="K13" s="661"/>
    </row>
    <row r="14" spans="1:14" ht="15" customHeight="1" x14ac:dyDescent="0.2">
      <c r="A14" s="633"/>
      <c r="B14" s="637"/>
      <c r="C14" s="27"/>
      <c r="D14" s="27"/>
      <c r="E14" s="27"/>
      <c r="F14" s="28"/>
      <c r="G14" s="29"/>
      <c r="H14" s="633"/>
      <c r="I14" s="634"/>
      <c r="J14" s="634"/>
      <c r="K14" s="637"/>
      <c r="L14" s="1">
        <f>COUNTBLANK(C14:K14)</f>
        <v>9</v>
      </c>
      <c r="M14" s="1" t="str">
        <f>IF(AND(A14&lt;&gt;"",L14&gt;3),"No","Yes")</f>
        <v>Yes</v>
      </c>
      <c r="N14" s="1" t="str">
        <f>CONCATENATE(D14,E14)</f>
        <v/>
      </c>
    </row>
    <row r="15" spans="1:14" ht="15" customHeight="1" x14ac:dyDescent="0.2">
      <c r="A15" s="633"/>
      <c r="B15" s="637"/>
      <c r="C15" s="27"/>
      <c r="D15" s="27"/>
      <c r="E15" s="27"/>
      <c r="F15" s="28"/>
      <c r="G15" s="29"/>
      <c r="H15" s="633"/>
      <c r="I15" s="634"/>
      <c r="J15" s="634"/>
      <c r="K15" s="637"/>
      <c r="L15" s="1">
        <f t="shared" ref="L15:L38" si="0">COUNTBLANK(C15:K15)</f>
        <v>9</v>
      </c>
      <c r="M15" s="1" t="str">
        <f t="shared" ref="M15:M38" si="1">IF(AND(A15&lt;&gt;"",L15&gt;3),"No","Yes")</f>
        <v>Yes</v>
      </c>
      <c r="N15" s="1" t="str">
        <f t="shared" ref="N15:N38" si="2">CONCATENATE(D15,E15)</f>
        <v/>
      </c>
    </row>
    <row r="16" spans="1:14" ht="15" customHeight="1" x14ac:dyDescent="0.2">
      <c r="A16" s="633"/>
      <c r="B16" s="637"/>
      <c r="C16" s="27"/>
      <c r="D16" s="27"/>
      <c r="E16" s="27"/>
      <c r="F16" s="28"/>
      <c r="G16" s="29"/>
      <c r="H16" s="633"/>
      <c r="I16" s="634"/>
      <c r="J16" s="634"/>
      <c r="K16" s="637"/>
      <c r="L16" s="1">
        <f t="shared" si="0"/>
        <v>9</v>
      </c>
      <c r="M16" s="1" t="str">
        <f t="shared" si="1"/>
        <v>Yes</v>
      </c>
      <c r="N16" s="1" t="str">
        <f t="shared" si="2"/>
        <v/>
      </c>
    </row>
    <row r="17" spans="1:14" ht="15" customHeight="1" x14ac:dyDescent="0.2">
      <c r="A17" s="633"/>
      <c r="B17" s="637"/>
      <c r="C17" s="27"/>
      <c r="D17" s="27"/>
      <c r="E17" s="27"/>
      <c r="F17" s="28"/>
      <c r="G17" s="29"/>
      <c r="H17" s="633"/>
      <c r="I17" s="634"/>
      <c r="J17" s="634"/>
      <c r="K17" s="637"/>
      <c r="L17" s="1">
        <f t="shared" si="0"/>
        <v>9</v>
      </c>
      <c r="M17" s="1" t="str">
        <f t="shared" si="1"/>
        <v>Yes</v>
      </c>
      <c r="N17" s="1" t="str">
        <f t="shared" si="2"/>
        <v/>
      </c>
    </row>
    <row r="18" spans="1:14" ht="15" customHeight="1" x14ac:dyDescent="0.2">
      <c r="A18" s="633"/>
      <c r="B18" s="637"/>
      <c r="C18" s="27"/>
      <c r="D18" s="27"/>
      <c r="E18" s="27"/>
      <c r="F18" s="28"/>
      <c r="G18" s="29"/>
      <c r="H18" s="633"/>
      <c r="I18" s="634"/>
      <c r="J18" s="634"/>
      <c r="K18" s="637"/>
      <c r="L18" s="1">
        <f t="shared" si="0"/>
        <v>9</v>
      </c>
      <c r="M18" s="1" t="str">
        <f t="shared" si="1"/>
        <v>Yes</v>
      </c>
      <c r="N18" s="1" t="str">
        <f t="shared" si="2"/>
        <v/>
      </c>
    </row>
    <row r="19" spans="1:14" ht="15" customHeight="1" x14ac:dyDescent="0.2">
      <c r="A19" s="633"/>
      <c r="B19" s="637"/>
      <c r="C19" s="27"/>
      <c r="D19" s="27"/>
      <c r="E19" s="27"/>
      <c r="F19" s="28"/>
      <c r="G19" s="29"/>
      <c r="H19" s="633"/>
      <c r="I19" s="634"/>
      <c r="J19" s="634"/>
      <c r="K19" s="637"/>
      <c r="L19" s="1">
        <f t="shared" si="0"/>
        <v>9</v>
      </c>
      <c r="M19" s="1" t="str">
        <f t="shared" si="1"/>
        <v>Yes</v>
      </c>
      <c r="N19" s="1" t="str">
        <f t="shared" si="2"/>
        <v/>
      </c>
    </row>
    <row r="20" spans="1:14" ht="15" customHeight="1" x14ac:dyDescent="0.2">
      <c r="A20" s="633"/>
      <c r="B20" s="637"/>
      <c r="C20" s="27"/>
      <c r="D20" s="27"/>
      <c r="E20" s="27"/>
      <c r="F20" s="28"/>
      <c r="G20" s="29"/>
      <c r="H20" s="633"/>
      <c r="I20" s="634"/>
      <c r="J20" s="634"/>
      <c r="K20" s="637"/>
      <c r="L20" s="1">
        <f t="shared" si="0"/>
        <v>9</v>
      </c>
      <c r="M20" s="1" t="str">
        <f t="shared" si="1"/>
        <v>Yes</v>
      </c>
      <c r="N20" s="1" t="str">
        <f t="shared" si="2"/>
        <v/>
      </c>
    </row>
    <row r="21" spans="1:14" ht="15" customHeight="1" x14ac:dyDescent="0.2">
      <c r="A21" s="633"/>
      <c r="B21" s="637"/>
      <c r="C21" s="27"/>
      <c r="D21" s="27"/>
      <c r="E21" s="27"/>
      <c r="F21" s="28"/>
      <c r="G21" s="29"/>
      <c r="H21" s="633"/>
      <c r="I21" s="634"/>
      <c r="J21" s="634"/>
      <c r="K21" s="637"/>
      <c r="L21" s="1">
        <f t="shared" si="0"/>
        <v>9</v>
      </c>
      <c r="M21" s="1" t="str">
        <f t="shared" si="1"/>
        <v>Yes</v>
      </c>
      <c r="N21" s="1" t="str">
        <f t="shared" si="2"/>
        <v/>
      </c>
    </row>
    <row r="22" spans="1:14" ht="15" customHeight="1" x14ac:dyDescent="0.2">
      <c r="A22" s="633"/>
      <c r="B22" s="637"/>
      <c r="C22" s="27"/>
      <c r="D22" s="27"/>
      <c r="E22" s="27"/>
      <c r="F22" s="28"/>
      <c r="G22" s="29"/>
      <c r="H22" s="633"/>
      <c r="I22" s="634"/>
      <c r="J22" s="634"/>
      <c r="K22" s="637"/>
      <c r="L22" s="1">
        <f t="shared" si="0"/>
        <v>9</v>
      </c>
      <c r="M22" s="1" t="str">
        <f t="shared" si="1"/>
        <v>Yes</v>
      </c>
      <c r="N22" s="1" t="str">
        <f t="shared" si="2"/>
        <v/>
      </c>
    </row>
    <row r="23" spans="1:14" ht="15" customHeight="1" x14ac:dyDescent="0.2">
      <c r="A23" s="633"/>
      <c r="B23" s="637"/>
      <c r="C23" s="27"/>
      <c r="D23" s="27"/>
      <c r="E23" s="27"/>
      <c r="F23" s="28"/>
      <c r="G23" s="29"/>
      <c r="H23" s="633"/>
      <c r="I23" s="634"/>
      <c r="J23" s="634"/>
      <c r="K23" s="637"/>
      <c r="L23" s="1">
        <f t="shared" si="0"/>
        <v>9</v>
      </c>
      <c r="M23" s="1" t="str">
        <f t="shared" si="1"/>
        <v>Yes</v>
      </c>
      <c r="N23" s="1" t="str">
        <f t="shared" si="2"/>
        <v/>
      </c>
    </row>
    <row r="24" spans="1:14" ht="15" customHeight="1" x14ac:dyDescent="0.2">
      <c r="A24" s="633"/>
      <c r="B24" s="637"/>
      <c r="C24" s="27"/>
      <c r="D24" s="27"/>
      <c r="E24" s="27"/>
      <c r="F24" s="28"/>
      <c r="G24" s="29"/>
      <c r="H24" s="633"/>
      <c r="I24" s="634"/>
      <c r="J24" s="634"/>
      <c r="K24" s="637"/>
      <c r="L24" s="1">
        <f t="shared" si="0"/>
        <v>9</v>
      </c>
      <c r="M24" s="1" t="str">
        <f t="shared" si="1"/>
        <v>Yes</v>
      </c>
      <c r="N24" s="1" t="str">
        <f t="shared" si="2"/>
        <v/>
      </c>
    </row>
    <row r="25" spans="1:14" ht="15" customHeight="1" x14ac:dyDescent="0.2">
      <c r="A25" s="633"/>
      <c r="B25" s="637"/>
      <c r="C25" s="27"/>
      <c r="D25" s="27"/>
      <c r="E25" s="27"/>
      <c r="F25" s="28"/>
      <c r="G25" s="29"/>
      <c r="H25" s="633"/>
      <c r="I25" s="634"/>
      <c r="J25" s="634"/>
      <c r="K25" s="637"/>
      <c r="L25" s="1">
        <f t="shared" si="0"/>
        <v>9</v>
      </c>
      <c r="M25" s="1" t="str">
        <f t="shared" si="1"/>
        <v>Yes</v>
      </c>
      <c r="N25" s="1" t="str">
        <f t="shared" si="2"/>
        <v/>
      </c>
    </row>
    <row r="26" spans="1:14" ht="15" customHeight="1" x14ac:dyDescent="0.2">
      <c r="A26" s="633"/>
      <c r="B26" s="637"/>
      <c r="C26" s="27"/>
      <c r="D26" s="27"/>
      <c r="E26" s="27"/>
      <c r="F26" s="28"/>
      <c r="G26" s="29"/>
      <c r="H26" s="633"/>
      <c r="I26" s="634"/>
      <c r="J26" s="634"/>
      <c r="K26" s="637"/>
      <c r="L26" s="1">
        <f t="shared" si="0"/>
        <v>9</v>
      </c>
      <c r="M26" s="1" t="str">
        <f t="shared" si="1"/>
        <v>Yes</v>
      </c>
      <c r="N26" s="1" t="str">
        <f t="shared" si="2"/>
        <v/>
      </c>
    </row>
    <row r="27" spans="1:14" ht="15" customHeight="1" x14ac:dyDescent="0.2">
      <c r="A27" s="633"/>
      <c r="B27" s="637"/>
      <c r="C27" s="27"/>
      <c r="D27" s="27"/>
      <c r="E27" s="27"/>
      <c r="F27" s="28"/>
      <c r="G27" s="29"/>
      <c r="H27" s="633"/>
      <c r="I27" s="634"/>
      <c r="J27" s="634"/>
      <c r="K27" s="637"/>
      <c r="L27" s="1">
        <f t="shared" si="0"/>
        <v>9</v>
      </c>
      <c r="M27" s="1" t="str">
        <f t="shared" si="1"/>
        <v>Yes</v>
      </c>
      <c r="N27" s="1" t="str">
        <f t="shared" si="2"/>
        <v/>
      </c>
    </row>
    <row r="28" spans="1:14" ht="15" customHeight="1" x14ac:dyDescent="0.2">
      <c r="A28" s="633"/>
      <c r="B28" s="637"/>
      <c r="C28" s="27"/>
      <c r="D28" s="27"/>
      <c r="E28" s="27"/>
      <c r="F28" s="28"/>
      <c r="G28" s="29"/>
      <c r="H28" s="633"/>
      <c r="I28" s="634"/>
      <c r="J28" s="634"/>
      <c r="K28" s="637"/>
      <c r="L28" s="1">
        <f t="shared" si="0"/>
        <v>9</v>
      </c>
      <c r="M28" s="1" t="str">
        <f t="shared" si="1"/>
        <v>Yes</v>
      </c>
      <c r="N28" s="1" t="str">
        <f t="shared" si="2"/>
        <v/>
      </c>
    </row>
    <row r="29" spans="1:14" ht="15" customHeight="1" x14ac:dyDescent="0.2">
      <c r="A29" s="633"/>
      <c r="B29" s="637"/>
      <c r="C29" s="27"/>
      <c r="D29" s="27"/>
      <c r="E29" s="27"/>
      <c r="F29" s="28"/>
      <c r="G29" s="29"/>
      <c r="H29" s="633"/>
      <c r="I29" s="634"/>
      <c r="J29" s="634"/>
      <c r="K29" s="637"/>
      <c r="L29" s="1">
        <f t="shared" si="0"/>
        <v>9</v>
      </c>
      <c r="M29" s="1" t="str">
        <f t="shared" si="1"/>
        <v>Yes</v>
      </c>
      <c r="N29" s="1" t="str">
        <f t="shared" si="2"/>
        <v/>
      </c>
    </row>
    <row r="30" spans="1:14" ht="15" customHeight="1" x14ac:dyDescent="0.2">
      <c r="A30" s="633"/>
      <c r="B30" s="637"/>
      <c r="C30" s="27"/>
      <c r="D30" s="27"/>
      <c r="E30" s="27"/>
      <c r="F30" s="28"/>
      <c r="G30" s="29"/>
      <c r="H30" s="633"/>
      <c r="I30" s="634"/>
      <c r="J30" s="634"/>
      <c r="K30" s="637"/>
      <c r="L30" s="1">
        <f t="shared" si="0"/>
        <v>9</v>
      </c>
      <c r="M30" s="1" t="str">
        <f t="shared" si="1"/>
        <v>Yes</v>
      </c>
      <c r="N30" s="1" t="str">
        <f t="shared" si="2"/>
        <v/>
      </c>
    </row>
    <row r="31" spans="1:14" ht="15" customHeight="1" x14ac:dyDescent="0.2">
      <c r="A31" s="633"/>
      <c r="B31" s="637"/>
      <c r="C31" s="27"/>
      <c r="D31" s="27"/>
      <c r="E31" s="27"/>
      <c r="F31" s="28"/>
      <c r="G31" s="29"/>
      <c r="H31" s="633"/>
      <c r="I31" s="634"/>
      <c r="J31" s="634"/>
      <c r="K31" s="637"/>
      <c r="L31" s="1">
        <f t="shared" si="0"/>
        <v>9</v>
      </c>
      <c r="M31" s="1" t="str">
        <f t="shared" si="1"/>
        <v>Yes</v>
      </c>
      <c r="N31" s="1" t="str">
        <f t="shared" si="2"/>
        <v/>
      </c>
    </row>
    <row r="32" spans="1:14" ht="15" customHeight="1" x14ac:dyDescent="0.2">
      <c r="A32" s="633"/>
      <c r="B32" s="637"/>
      <c r="C32" s="27"/>
      <c r="D32" s="27"/>
      <c r="E32" s="27"/>
      <c r="F32" s="28"/>
      <c r="G32" s="29"/>
      <c r="H32" s="633"/>
      <c r="I32" s="634"/>
      <c r="J32" s="634"/>
      <c r="K32" s="637"/>
      <c r="L32" s="1">
        <f t="shared" si="0"/>
        <v>9</v>
      </c>
      <c r="M32" s="1" t="str">
        <f t="shared" si="1"/>
        <v>Yes</v>
      </c>
      <c r="N32" s="1" t="str">
        <f t="shared" si="2"/>
        <v/>
      </c>
    </row>
    <row r="33" spans="1:14" ht="15" customHeight="1" x14ac:dyDescent="0.2">
      <c r="A33" s="633"/>
      <c r="B33" s="637"/>
      <c r="C33" s="27"/>
      <c r="D33" s="27"/>
      <c r="E33" s="27"/>
      <c r="F33" s="28"/>
      <c r="G33" s="29"/>
      <c r="H33" s="633"/>
      <c r="I33" s="634"/>
      <c r="J33" s="634"/>
      <c r="K33" s="637"/>
      <c r="L33" s="1">
        <f t="shared" si="0"/>
        <v>9</v>
      </c>
      <c r="M33" s="1" t="str">
        <f t="shared" si="1"/>
        <v>Yes</v>
      </c>
      <c r="N33" s="1" t="str">
        <f t="shared" si="2"/>
        <v/>
      </c>
    </row>
    <row r="34" spans="1:14" ht="15" customHeight="1" x14ac:dyDescent="0.2">
      <c r="A34" s="633"/>
      <c r="B34" s="637"/>
      <c r="C34" s="27"/>
      <c r="D34" s="27"/>
      <c r="E34" s="27"/>
      <c r="F34" s="28"/>
      <c r="G34" s="29"/>
      <c r="H34" s="633"/>
      <c r="I34" s="634"/>
      <c r="J34" s="634"/>
      <c r="K34" s="637"/>
      <c r="L34" s="1">
        <f t="shared" si="0"/>
        <v>9</v>
      </c>
      <c r="M34" s="1" t="str">
        <f t="shared" si="1"/>
        <v>Yes</v>
      </c>
      <c r="N34" s="1" t="str">
        <f t="shared" si="2"/>
        <v/>
      </c>
    </row>
    <row r="35" spans="1:14" ht="15" customHeight="1" x14ac:dyDescent="0.2">
      <c r="A35" s="633"/>
      <c r="B35" s="637"/>
      <c r="C35" s="27"/>
      <c r="D35" s="27"/>
      <c r="E35" s="27"/>
      <c r="F35" s="28"/>
      <c r="G35" s="29"/>
      <c r="H35" s="633"/>
      <c r="I35" s="634"/>
      <c r="J35" s="634"/>
      <c r="K35" s="637"/>
      <c r="L35" s="1">
        <f t="shared" si="0"/>
        <v>9</v>
      </c>
      <c r="M35" s="1" t="str">
        <f t="shared" si="1"/>
        <v>Yes</v>
      </c>
      <c r="N35" s="1" t="str">
        <f t="shared" si="2"/>
        <v/>
      </c>
    </row>
    <row r="36" spans="1:14" ht="15" customHeight="1" x14ac:dyDescent="0.2">
      <c r="A36" s="633"/>
      <c r="B36" s="637"/>
      <c r="C36" s="27"/>
      <c r="D36" s="27"/>
      <c r="E36" s="27"/>
      <c r="F36" s="28"/>
      <c r="G36" s="29"/>
      <c r="H36" s="633"/>
      <c r="I36" s="634"/>
      <c r="J36" s="634"/>
      <c r="K36" s="637"/>
      <c r="L36" s="1">
        <f t="shared" si="0"/>
        <v>9</v>
      </c>
      <c r="M36" s="1" t="str">
        <f t="shared" si="1"/>
        <v>Yes</v>
      </c>
      <c r="N36" s="1" t="str">
        <f t="shared" si="2"/>
        <v/>
      </c>
    </row>
    <row r="37" spans="1:14" ht="15" customHeight="1" x14ac:dyDescent="0.2">
      <c r="A37" s="633"/>
      <c r="B37" s="637"/>
      <c r="C37" s="27"/>
      <c r="D37" s="27"/>
      <c r="E37" s="27"/>
      <c r="F37" s="28"/>
      <c r="G37" s="29"/>
      <c r="H37" s="633"/>
      <c r="I37" s="634"/>
      <c r="J37" s="634"/>
      <c r="K37" s="637"/>
      <c r="L37" s="1">
        <f t="shared" si="0"/>
        <v>9</v>
      </c>
      <c r="M37" s="1" t="str">
        <f t="shared" si="1"/>
        <v>Yes</v>
      </c>
      <c r="N37" s="1" t="str">
        <f t="shared" si="2"/>
        <v/>
      </c>
    </row>
    <row r="38" spans="1:14" ht="15" customHeight="1" x14ac:dyDescent="0.2">
      <c r="A38" s="633"/>
      <c r="B38" s="637"/>
      <c r="C38" s="27"/>
      <c r="D38" s="27"/>
      <c r="E38" s="27"/>
      <c r="F38" s="28"/>
      <c r="G38" s="29"/>
      <c r="H38" s="633"/>
      <c r="I38" s="634"/>
      <c r="J38" s="634"/>
      <c r="K38" s="637"/>
      <c r="L38" s="1">
        <f t="shared" si="0"/>
        <v>9</v>
      </c>
      <c r="M38" s="1" t="str">
        <f t="shared" si="1"/>
        <v>Yes</v>
      </c>
      <c r="N38" s="1" t="str">
        <f t="shared" si="2"/>
        <v/>
      </c>
    </row>
    <row r="39" spans="1:14" ht="15" customHeight="1" x14ac:dyDescent="0.2">
      <c r="A39" s="682" t="s">
        <v>92</v>
      </c>
      <c r="B39" s="682"/>
      <c r="C39" s="682"/>
      <c r="D39" s="682"/>
      <c r="E39" s="34"/>
      <c r="F39" s="32">
        <f>SUM(F14:F38)</f>
        <v>0</v>
      </c>
      <c r="G39" s="683" t="s">
        <v>93</v>
      </c>
      <c r="H39" s="683"/>
      <c r="I39" s="683"/>
      <c r="J39" s="683"/>
      <c r="K39" s="33">
        <f>SUM(G14:G38)</f>
        <v>0</v>
      </c>
      <c r="M39" s="1">
        <f>COUNTIF(M14:M38,"Yes")</f>
        <v>25</v>
      </c>
    </row>
    <row r="40" spans="1:14" ht="15" customHeight="1" x14ac:dyDescent="0.2">
      <c r="A40" s="747"/>
      <c r="B40" s="673"/>
      <c r="C40" s="673"/>
      <c r="D40" s="673"/>
      <c r="E40" s="673"/>
      <c r="F40" s="673"/>
      <c r="G40" s="673"/>
      <c r="H40" s="673"/>
      <c r="I40" s="673"/>
      <c r="J40" s="673"/>
      <c r="K40" s="748"/>
    </row>
    <row r="41" spans="1:14" ht="18" customHeight="1" x14ac:dyDescent="0.2">
      <c r="A41" s="749" t="s">
        <v>137</v>
      </c>
      <c r="B41" s="651"/>
      <c r="C41" s="651"/>
      <c r="D41" s="651"/>
      <c r="E41" s="651"/>
      <c r="F41" s="651"/>
      <c r="G41" s="651"/>
      <c r="H41" s="651"/>
      <c r="I41" s="651"/>
      <c r="J41" s="651"/>
      <c r="K41" s="750"/>
    </row>
    <row r="42" spans="1:14" ht="18" customHeight="1" x14ac:dyDescent="0.2">
      <c r="A42" s="749" t="s">
        <v>480</v>
      </c>
      <c r="B42" s="651"/>
      <c r="C42" s="651"/>
      <c r="D42" s="651"/>
      <c r="E42" s="651"/>
      <c r="F42" s="651"/>
      <c r="G42" s="651"/>
      <c r="H42" s="651"/>
      <c r="I42" s="651"/>
      <c r="J42" s="651"/>
      <c r="K42" s="750"/>
    </row>
    <row r="43" spans="1:14" ht="15" customHeight="1" x14ac:dyDescent="0.2">
      <c r="A43" s="666" t="s">
        <v>49</v>
      </c>
      <c r="B43" s="654"/>
      <c r="C43" s="654"/>
      <c r="D43" s="655"/>
      <c r="E43" s="662" t="s">
        <v>140</v>
      </c>
      <c r="F43" s="662" t="s">
        <v>139</v>
      </c>
      <c r="G43" s="665" t="s">
        <v>104</v>
      </c>
      <c r="H43" s="666" t="s">
        <v>53</v>
      </c>
      <c r="I43" s="654"/>
      <c r="J43" s="654"/>
      <c r="K43" s="655"/>
    </row>
    <row r="44" spans="1:14" ht="15" customHeight="1" x14ac:dyDescent="0.2">
      <c r="A44" s="668"/>
      <c r="B44" s="657"/>
      <c r="C44" s="657"/>
      <c r="D44" s="658"/>
      <c r="E44" s="663"/>
      <c r="F44" s="663"/>
      <c r="G44" s="663"/>
      <c r="H44" s="668"/>
      <c r="I44" s="657"/>
      <c r="J44" s="657"/>
      <c r="K44" s="658"/>
    </row>
    <row r="45" spans="1:14" ht="15" customHeight="1" x14ac:dyDescent="0.2">
      <c r="A45" s="668"/>
      <c r="B45" s="657"/>
      <c r="C45" s="657"/>
      <c r="D45" s="658"/>
      <c r="E45" s="663"/>
      <c r="F45" s="663"/>
      <c r="G45" s="663"/>
      <c r="H45" s="668"/>
      <c r="I45" s="657"/>
      <c r="J45" s="657"/>
      <c r="K45" s="658"/>
    </row>
    <row r="46" spans="1:14" ht="15" customHeight="1" x14ac:dyDescent="0.2">
      <c r="A46" s="668"/>
      <c r="B46" s="657"/>
      <c r="C46" s="657"/>
      <c r="D46" s="658"/>
      <c r="E46" s="663"/>
      <c r="F46" s="663"/>
      <c r="G46" s="663"/>
      <c r="H46" s="668"/>
      <c r="I46" s="657"/>
      <c r="J46" s="657"/>
      <c r="K46" s="658"/>
    </row>
    <row r="47" spans="1:14" ht="15" customHeight="1" x14ac:dyDescent="0.2">
      <c r="A47" s="668"/>
      <c r="B47" s="657"/>
      <c r="C47" s="657"/>
      <c r="D47" s="658"/>
      <c r="E47" s="663"/>
      <c r="F47" s="663"/>
      <c r="G47" s="663"/>
      <c r="H47" s="668"/>
      <c r="I47" s="657"/>
      <c r="J47" s="657"/>
      <c r="K47" s="658"/>
    </row>
    <row r="48" spans="1:14" ht="14.25" customHeight="1" x14ac:dyDescent="0.2">
      <c r="A48" s="670"/>
      <c r="B48" s="660"/>
      <c r="C48" s="660"/>
      <c r="D48" s="661"/>
      <c r="E48" s="664"/>
      <c r="F48" s="664"/>
      <c r="G48" s="664"/>
      <c r="H48" s="670"/>
      <c r="I48" s="660"/>
      <c r="J48" s="660"/>
      <c r="K48" s="661"/>
    </row>
    <row r="49" spans="1:14" ht="15" customHeight="1" x14ac:dyDescent="0.2">
      <c r="A49" s="633"/>
      <c r="B49" s="634"/>
      <c r="C49" s="634"/>
      <c r="D49" s="637"/>
      <c r="E49" s="27"/>
      <c r="F49" s="27"/>
      <c r="G49" s="29"/>
      <c r="H49" s="633"/>
      <c r="I49" s="634"/>
      <c r="J49" s="634"/>
      <c r="K49" s="637"/>
      <c r="L49" s="1">
        <f t="shared" ref="L49:L73" si="3">COUNTBLANK(E49:K49)</f>
        <v>7</v>
      </c>
      <c r="M49" s="1" t="str">
        <f>IF(AND(A49&lt;&gt;"",L49&gt;3),"No","Yes")</f>
        <v>Yes</v>
      </c>
      <c r="N49" s="1" t="str">
        <f>CONCATENATE(E49,F49)</f>
        <v/>
      </c>
    </row>
    <row r="50" spans="1:14" ht="15" customHeight="1" x14ac:dyDescent="0.2">
      <c r="A50" s="633"/>
      <c r="B50" s="634"/>
      <c r="C50" s="634"/>
      <c r="D50" s="637"/>
      <c r="E50" s="27"/>
      <c r="F50" s="27"/>
      <c r="G50" s="29"/>
      <c r="H50" s="633"/>
      <c r="I50" s="634"/>
      <c r="J50" s="634"/>
      <c r="K50" s="637"/>
      <c r="L50" s="1">
        <f t="shared" si="3"/>
        <v>7</v>
      </c>
      <c r="M50" s="1" t="str">
        <f t="shared" ref="M50:M73" si="4">IF(AND(A50&lt;&gt;"",L50&gt;3),"No","Yes")</f>
        <v>Yes</v>
      </c>
      <c r="N50" s="1" t="str">
        <f t="shared" ref="N50:N73" si="5">CONCATENATE(E50,F50)</f>
        <v/>
      </c>
    </row>
    <row r="51" spans="1:14" ht="15" customHeight="1" x14ac:dyDescent="0.2">
      <c r="A51" s="633"/>
      <c r="B51" s="634"/>
      <c r="C51" s="634"/>
      <c r="D51" s="637"/>
      <c r="E51" s="27"/>
      <c r="F51" s="27"/>
      <c r="G51" s="29"/>
      <c r="H51" s="633"/>
      <c r="I51" s="634"/>
      <c r="J51" s="634"/>
      <c r="K51" s="637"/>
      <c r="L51" s="1">
        <f t="shared" si="3"/>
        <v>7</v>
      </c>
      <c r="M51" s="1" t="str">
        <f t="shared" si="4"/>
        <v>Yes</v>
      </c>
      <c r="N51" s="1" t="str">
        <f t="shared" si="5"/>
        <v/>
      </c>
    </row>
    <row r="52" spans="1:14" ht="15" customHeight="1" x14ac:dyDescent="0.2">
      <c r="A52" s="633"/>
      <c r="B52" s="634"/>
      <c r="C52" s="634"/>
      <c r="D52" s="637"/>
      <c r="E52" s="27"/>
      <c r="F52" s="27"/>
      <c r="G52" s="29"/>
      <c r="H52" s="633"/>
      <c r="I52" s="634"/>
      <c r="J52" s="634"/>
      <c r="K52" s="637"/>
      <c r="L52" s="1">
        <f t="shared" si="3"/>
        <v>7</v>
      </c>
      <c r="M52" s="1" t="str">
        <f t="shared" si="4"/>
        <v>Yes</v>
      </c>
      <c r="N52" s="1" t="str">
        <f t="shared" si="5"/>
        <v/>
      </c>
    </row>
    <row r="53" spans="1:14" ht="15" customHeight="1" x14ac:dyDescent="0.2">
      <c r="A53" s="633"/>
      <c r="B53" s="634"/>
      <c r="C53" s="634"/>
      <c r="D53" s="637"/>
      <c r="E53" s="27"/>
      <c r="F53" s="27"/>
      <c r="G53" s="29"/>
      <c r="H53" s="633"/>
      <c r="I53" s="634"/>
      <c r="J53" s="634"/>
      <c r="K53" s="637"/>
      <c r="L53" s="1">
        <f t="shared" si="3"/>
        <v>7</v>
      </c>
      <c r="M53" s="1" t="str">
        <f t="shared" si="4"/>
        <v>Yes</v>
      </c>
      <c r="N53" s="1" t="str">
        <f t="shared" si="5"/>
        <v/>
      </c>
    </row>
    <row r="54" spans="1:14" ht="15" customHeight="1" x14ac:dyDescent="0.2">
      <c r="A54" s="633"/>
      <c r="B54" s="634"/>
      <c r="C54" s="634"/>
      <c r="D54" s="637"/>
      <c r="E54" s="27"/>
      <c r="F54" s="27"/>
      <c r="G54" s="29"/>
      <c r="H54" s="633"/>
      <c r="I54" s="634"/>
      <c r="J54" s="634"/>
      <c r="K54" s="637"/>
      <c r="L54" s="1">
        <f t="shared" si="3"/>
        <v>7</v>
      </c>
      <c r="M54" s="1" t="str">
        <f t="shared" si="4"/>
        <v>Yes</v>
      </c>
      <c r="N54" s="1" t="str">
        <f t="shared" si="5"/>
        <v/>
      </c>
    </row>
    <row r="55" spans="1:14" ht="15" customHeight="1" x14ac:dyDescent="0.2">
      <c r="A55" s="633"/>
      <c r="B55" s="634"/>
      <c r="C55" s="634"/>
      <c r="D55" s="637"/>
      <c r="E55" s="27"/>
      <c r="F55" s="27"/>
      <c r="G55" s="29"/>
      <c r="H55" s="633"/>
      <c r="I55" s="634"/>
      <c r="J55" s="634"/>
      <c r="K55" s="637"/>
      <c r="L55" s="1">
        <f t="shared" si="3"/>
        <v>7</v>
      </c>
      <c r="M55" s="1" t="str">
        <f t="shared" si="4"/>
        <v>Yes</v>
      </c>
      <c r="N55" s="1" t="str">
        <f t="shared" si="5"/>
        <v/>
      </c>
    </row>
    <row r="56" spans="1:14" ht="15" customHeight="1" x14ac:dyDescent="0.2">
      <c r="A56" s="633"/>
      <c r="B56" s="634"/>
      <c r="C56" s="634"/>
      <c r="D56" s="637"/>
      <c r="E56" s="27"/>
      <c r="F56" s="27"/>
      <c r="G56" s="29"/>
      <c r="H56" s="633"/>
      <c r="I56" s="634"/>
      <c r="J56" s="634"/>
      <c r="K56" s="637"/>
      <c r="L56" s="1">
        <f t="shared" si="3"/>
        <v>7</v>
      </c>
      <c r="M56" s="1" t="str">
        <f t="shared" si="4"/>
        <v>Yes</v>
      </c>
      <c r="N56" s="1" t="str">
        <f t="shared" si="5"/>
        <v/>
      </c>
    </row>
    <row r="57" spans="1:14" ht="15" customHeight="1" x14ac:dyDescent="0.2">
      <c r="A57" s="633"/>
      <c r="B57" s="634"/>
      <c r="C57" s="634"/>
      <c r="D57" s="637"/>
      <c r="E57" s="27"/>
      <c r="F57" s="27"/>
      <c r="G57" s="29"/>
      <c r="H57" s="633"/>
      <c r="I57" s="634"/>
      <c r="J57" s="634"/>
      <c r="K57" s="637"/>
      <c r="L57" s="1">
        <f t="shared" si="3"/>
        <v>7</v>
      </c>
      <c r="M57" s="1" t="str">
        <f t="shared" si="4"/>
        <v>Yes</v>
      </c>
      <c r="N57" s="1" t="str">
        <f t="shared" si="5"/>
        <v/>
      </c>
    </row>
    <row r="58" spans="1:14" ht="15" customHeight="1" x14ac:dyDescent="0.2">
      <c r="A58" s="633"/>
      <c r="B58" s="634"/>
      <c r="C58" s="634"/>
      <c r="D58" s="637"/>
      <c r="E58" s="27"/>
      <c r="F58" s="27"/>
      <c r="G58" s="29"/>
      <c r="H58" s="633"/>
      <c r="I58" s="634"/>
      <c r="J58" s="634"/>
      <c r="K58" s="637"/>
      <c r="L58" s="1">
        <f t="shared" si="3"/>
        <v>7</v>
      </c>
      <c r="M58" s="1" t="str">
        <f t="shared" si="4"/>
        <v>Yes</v>
      </c>
      <c r="N58" s="1" t="str">
        <f t="shared" si="5"/>
        <v/>
      </c>
    </row>
    <row r="59" spans="1:14" ht="15" customHeight="1" x14ac:dyDescent="0.2">
      <c r="A59" s="633"/>
      <c r="B59" s="634"/>
      <c r="C59" s="634"/>
      <c r="D59" s="637"/>
      <c r="E59" s="27"/>
      <c r="F59" s="27"/>
      <c r="G59" s="29"/>
      <c r="H59" s="633"/>
      <c r="I59" s="634"/>
      <c r="J59" s="634"/>
      <c r="K59" s="637"/>
      <c r="L59" s="1">
        <f t="shared" si="3"/>
        <v>7</v>
      </c>
      <c r="M59" s="1" t="str">
        <f t="shared" si="4"/>
        <v>Yes</v>
      </c>
      <c r="N59" s="1" t="str">
        <f t="shared" si="5"/>
        <v/>
      </c>
    </row>
    <row r="60" spans="1:14" ht="15" customHeight="1" x14ac:dyDescent="0.2">
      <c r="A60" s="633"/>
      <c r="B60" s="634"/>
      <c r="C60" s="634"/>
      <c r="D60" s="637"/>
      <c r="E60" s="27"/>
      <c r="F60" s="27"/>
      <c r="G60" s="29"/>
      <c r="H60" s="633"/>
      <c r="I60" s="634"/>
      <c r="J60" s="634"/>
      <c r="K60" s="637"/>
      <c r="L60" s="1">
        <f t="shared" si="3"/>
        <v>7</v>
      </c>
      <c r="M60" s="1" t="str">
        <f t="shared" si="4"/>
        <v>Yes</v>
      </c>
      <c r="N60" s="1" t="str">
        <f t="shared" si="5"/>
        <v/>
      </c>
    </row>
    <row r="61" spans="1:14" ht="15" customHeight="1" x14ac:dyDescent="0.2">
      <c r="A61" s="633"/>
      <c r="B61" s="634"/>
      <c r="C61" s="634"/>
      <c r="D61" s="637"/>
      <c r="E61" s="27"/>
      <c r="F61" s="27"/>
      <c r="G61" s="29"/>
      <c r="H61" s="633"/>
      <c r="I61" s="634"/>
      <c r="J61" s="634"/>
      <c r="K61" s="637"/>
      <c r="L61" s="1">
        <f t="shared" si="3"/>
        <v>7</v>
      </c>
      <c r="M61" s="1" t="str">
        <f t="shared" si="4"/>
        <v>Yes</v>
      </c>
      <c r="N61" s="1" t="str">
        <f t="shared" si="5"/>
        <v/>
      </c>
    </row>
    <row r="62" spans="1:14" ht="15" customHeight="1" x14ac:dyDescent="0.2">
      <c r="A62" s="633"/>
      <c r="B62" s="634"/>
      <c r="C62" s="634"/>
      <c r="D62" s="637"/>
      <c r="E62" s="27"/>
      <c r="F62" s="27"/>
      <c r="G62" s="29"/>
      <c r="H62" s="633"/>
      <c r="I62" s="634"/>
      <c r="J62" s="634"/>
      <c r="K62" s="637"/>
      <c r="L62" s="1">
        <f t="shared" si="3"/>
        <v>7</v>
      </c>
      <c r="M62" s="1" t="str">
        <f t="shared" si="4"/>
        <v>Yes</v>
      </c>
      <c r="N62" s="1" t="str">
        <f t="shared" si="5"/>
        <v/>
      </c>
    </row>
    <row r="63" spans="1:14" ht="15" customHeight="1" x14ac:dyDescent="0.2">
      <c r="A63" s="633"/>
      <c r="B63" s="634"/>
      <c r="C63" s="634"/>
      <c r="D63" s="637"/>
      <c r="E63" s="27"/>
      <c r="F63" s="27"/>
      <c r="G63" s="29"/>
      <c r="H63" s="633"/>
      <c r="I63" s="634"/>
      <c r="J63" s="634"/>
      <c r="K63" s="637"/>
      <c r="L63" s="1">
        <f t="shared" si="3"/>
        <v>7</v>
      </c>
      <c r="M63" s="1" t="str">
        <f t="shared" si="4"/>
        <v>Yes</v>
      </c>
      <c r="N63" s="1" t="str">
        <f t="shared" si="5"/>
        <v/>
      </c>
    </row>
    <row r="64" spans="1:14" ht="15" customHeight="1" x14ac:dyDescent="0.2">
      <c r="A64" s="633"/>
      <c r="B64" s="634"/>
      <c r="C64" s="634"/>
      <c r="D64" s="637"/>
      <c r="E64" s="27"/>
      <c r="F64" s="27"/>
      <c r="G64" s="29"/>
      <c r="H64" s="633"/>
      <c r="I64" s="634"/>
      <c r="J64" s="634"/>
      <c r="K64" s="637"/>
      <c r="L64" s="1">
        <f t="shared" si="3"/>
        <v>7</v>
      </c>
      <c r="M64" s="1" t="str">
        <f t="shared" si="4"/>
        <v>Yes</v>
      </c>
      <c r="N64" s="1" t="str">
        <f t="shared" si="5"/>
        <v/>
      </c>
    </row>
    <row r="65" spans="1:14" ht="15" customHeight="1" x14ac:dyDescent="0.2">
      <c r="A65" s="633"/>
      <c r="B65" s="634"/>
      <c r="C65" s="634"/>
      <c r="D65" s="637"/>
      <c r="E65" s="27"/>
      <c r="F65" s="27"/>
      <c r="G65" s="29"/>
      <c r="H65" s="633"/>
      <c r="I65" s="634"/>
      <c r="J65" s="634"/>
      <c r="K65" s="637"/>
      <c r="L65" s="1">
        <f t="shared" si="3"/>
        <v>7</v>
      </c>
      <c r="M65" s="1" t="str">
        <f t="shared" si="4"/>
        <v>Yes</v>
      </c>
      <c r="N65" s="1" t="str">
        <f t="shared" si="5"/>
        <v/>
      </c>
    </row>
    <row r="66" spans="1:14" ht="15" customHeight="1" x14ac:dyDescent="0.2">
      <c r="A66" s="633"/>
      <c r="B66" s="634"/>
      <c r="C66" s="634"/>
      <c r="D66" s="637"/>
      <c r="E66" s="27"/>
      <c r="F66" s="27"/>
      <c r="G66" s="29"/>
      <c r="H66" s="633"/>
      <c r="I66" s="634"/>
      <c r="J66" s="634"/>
      <c r="K66" s="637"/>
      <c r="L66" s="1">
        <f t="shared" si="3"/>
        <v>7</v>
      </c>
      <c r="M66" s="1" t="str">
        <f t="shared" si="4"/>
        <v>Yes</v>
      </c>
      <c r="N66" s="1" t="str">
        <f t="shared" si="5"/>
        <v/>
      </c>
    </row>
    <row r="67" spans="1:14" ht="15" customHeight="1" x14ac:dyDescent="0.2">
      <c r="A67" s="633"/>
      <c r="B67" s="634"/>
      <c r="C67" s="634"/>
      <c r="D67" s="637"/>
      <c r="E67" s="27"/>
      <c r="F67" s="27"/>
      <c r="G67" s="29"/>
      <c r="H67" s="633"/>
      <c r="I67" s="634"/>
      <c r="J67" s="634"/>
      <c r="K67" s="637"/>
      <c r="L67" s="1">
        <f t="shared" si="3"/>
        <v>7</v>
      </c>
      <c r="M67" s="1" t="str">
        <f t="shared" si="4"/>
        <v>Yes</v>
      </c>
      <c r="N67" s="1" t="str">
        <f t="shared" si="5"/>
        <v/>
      </c>
    </row>
    <row r="68" spans="1:14" ht="15" customHeight="1" x14ac:dyDescent="0.2">
      <c r="A68" s="633"/>
      <c r="B68" s="634"/>
      <c r="C68" s="634"/>
      <c r="D68" s="637"/>
      <c r="E68" s="27"/>
      <c r="F68" s="27"/>
      <c r="G68" s="29"/>
      <c r="H68" s="633"/>
      <c r="I68" s="634"/>
      <c r="J68" s="634"/>
      <c r="K68" s="637"/>
      <c r="L68" s="1">
        <f t="shared" si="3"/>
        <v>7</v>
      </c>
      <c r="M68" s="1" t="str">
        <f t="shared" si="4"/>
        <v>Yes</v>
      </c>
      <c r="N68" s="1" t="str">
        <f t="shared" si="5"/>
        <v/>
      </c>
    </row>
    <row r="69" spans="1:14" ht="15" customHeight="1" x14ac:dyDescent="0.2">
      <c r="A69" s="633"/>
      <c r="B69" s="634"/>
      <c r="C69" s="634"/>
      <c r="D69" s="637"/>
      <c r="E69" s="27"/>
      <c r="F69" s="27"/>
      <c r="G69" s="29"/>
      <c r="H69" s="633"/>
      <c r="I69" s="634"/>
      <c r="J69" s="634"/>
      <c r="K69" s="637"/>
      <c r="L69" s="1">
        <f t="shared" si="3"/>
        <v>7</v>
      </c>
      <c r="M69" s="1" t="str">
        <f t="shared" si="4"/>
        <v>Yes</v>
      </c>
      <c r="N69" s="1" t="str">
        <f t="shared" si="5"/>
        <v/>
      </c>
    </row>
    <row r="70" spans="1:14" ht="15" customHeight="1" x14ac:dyDescent="0.2">
      <c r="A70" s="633"/>
      <c r="B70" s="634"/>
      <c r="C70" s="634"/>
      <c r="D70" s="637"/>
      <c r="E70" s="27"/>
      <c r="F70" s="27"/>
      <c r="G70" s="29"/>
      <c r="H70" s="633"/>
      <c r="I70" s="634"/>
      <c r="J70" s="634"/>
      <c r="K70" s="637"/>
      <c r="L70" s="1">
        <f t="shared" si="3"/>
        <v>7</v>
      </c>
      <c r="M70" s="1" t="str">
        <f t="shared" si="4"/>
        <v>Yes</v>
      </c>
      <c r="N70" s="1" t="str">
        <f t="shared" si="5"/>
        <v/>
      </c>
    </row>
    <row r="71" spans="1:14" ht="15" customHeight="1" x14ac:dyDescent="0.2">
      <c r="A71" s="633"/>
      <c r="B71" s="634"/>
      <c r="C71" s="634"/>
      <c r="D71" s="637"/>
      <c r="E71" s="27"/>
      <c r="F71" s="27"/>
      <c r="G71" s="29"/>
      <c r="H71" s="633"/>
      <c r="I71" s="634"/>
      <c r="J71" s="634"/>
      <c r="K71" s="637"/>
      <c r="L71" s="1">
        <f t="shared" si="3"/>
        <v>7</v>
      </c>
      <c r="M71" s="1" t="str">
        <f t="shared" si="4"/>
        <v>Yes</v>
      </c>
      <c r="N71" s="1" t="str">
        <f t="shared" si="5"/>
        <v/>
      </c>
    </row>
    <row r="72" spans="1:14" ht="15" customHeight="1" x14ac:dyDescent="0.2">
      <c r="A72" s="633"/>
      <c r="B72" s="634"/>
      <c r="C72" s="634"/>
      <c r="D72" s="637"/>
      <c r="E72" s="27"/>
      <c r="F72" s="27"/>
      <c r="G72" s="29"/>
      <c r="H72" s="633"/>
      <c r="I72" s="634"/>
      <c r="J72" s="634"/>
      <c r="K72" s="637"/>
      <c r="L72" s="1">
        <f t="shared" si="3"/>
        <v>7</v>
      </c>
      <c r="M72" s="1" t="str">
        <f t="shared" si="4"/>
        <v>Yes</v>
      </c>
      <c r="N72" s="1" t="str">
        <f t="shared" si="5"/>
        <v/>
      </c>
    </row>
    <row r="73" spans="1:14" ht="15" customHeight="1" x14ac:dyDescent="0.2">
      <c r="A73" s="633"/>
      <c r="B73" s="634"/>
      <c r="C73" s="634"/>
      <c r="D73" s="637"/>
      <c r="E73" s="27"/>
      <c r="F73" s="27"/>
      <c r="G73" s="29"/>
      <c r="H73" s="633"/>
      <c r="I73" s="634"/>
      <c r="J73" s="634"/>
      <c r="K73" s="637"/>
      <c r="L73" s="1">
        <f t="shared" si="3"/>
        <v>7</v>
      </c>
      <c r="M73" s="1" t="str">
        <f t="shared" si="4"/>
        <v>Yes</v>
      </c>
      <c r="N73" s="1" t="str">
        <f t="shared" si="5"/>
        <v/>
      </c>
    </row>
    <row r="74" spans="1:14" ht="15" customHeight="1" x14ac:dyDescent="0.2">
      <c r="A74" s="751" t="s">
        <v>91</v>
      </c>
      <c r="B74" s="645"/>
      <c r="C74" s="645"/>
      <c r="D74" s="645"/>
      <c r="E74" s="645"/>
      <c r="F74" s="646"/>
      <c r="G74" s="647">
        <f>SUM(G49:G73)</f>
        <v>0</v>
      </c>
      <c r="H74" s="648"/>
      <c r="I74" s="648"/>
      <c r="J74" s="648"/>
      <c r="K74" s="752"/>
      <c r="M74" s="1">
        <f>COUNTIF(M49:M73,"Yes")</f>
        <v>25</v>
      </c>
    </row>
    <row r="75" spans="1:14" ht="15" customHeight="1" x14ac:dyDescent="0.2">
      <c r="A75" s="747"/>
      <c r="B75" s="673"/>
      <c r="C75" s="673"/>
      <c r="D75" s="673"/>
      <c r="E75" s="673"/>
      <c r="F75" s="673"/>
      <c r="G75" s="673"/>
      <c r="H75" s="673"/>
      <c r="I75" s="673"/>
      <c r="J75" s="673"/>
      <c r="K75" s="748"/>
    </row>
    <row r="76" spans="1:14" ht="18" customHeight="1" x14ac:dyDescent="0.2">
      <c r="A76" s="749" t="s">
        <v>45</v>
      </c>
      <c r="B76" s="651"/>
      <c r="C76" s="651"/>
      <c r="D76" s="651"/>
      <c r="E76" s="651"/>
      <c r="F76" s="651"/>
      <c r="G76" s="651"/>
      <c r="H76" s="651"/>
      <c r="I76" s="651"/>
      <c r="J76" s="651"/>
      <c r="K76" s="750"/>
    </row>
    <row r="77" spans="1:14" ht="18" customHeight="1" x14ac:dyDescent="0.2">
      <c r="A77" s="749" t="s">
        <v>480</v>
      </c>
      <c r="B77" s="651"/>
      <c r="C77" s="651"/>
      <c r="D77" s="651"/>
      <c r="E77" s="651"/>
      <c r="F77" s="651"/>
      <c r="G77" s="651"/>
      <c r="H77" s="651"/>
      <c r="I77" s="651"/>
      <c r="J77" s="651"/>
      <c r="K77" s="750"/>
    </row>
    <row r="78" spans="1:14" ht="15" customHeight="1" x14ac:dyDescent="0.2">
      <c r="A78" s="666" t="s">
        <v>49</v>
      </c>
      <c r="B78" s="654"/>
      <c r="C78" s="654"/>
      <c r="D78" s="655"/>
      <c r="E78" s="662" t="s">
        <v>140</v>
      </c>
      <c r="F78" s="662" t="s">
        <v>139</v>
      </c>
      <c r="G78" s="665" t="s">
        <v>104</v>
      </c>
      <c r="H78" s="666" t="s">
        <v>53</v>
      </c>
      <c r="I78" s="684"/>
      <c r="J78" s="684"/>
      <c r="K78" s="753"/>
    </row>
    <row r="79" spans="1:14" ht="15" customHeight="1" x14ac:dyDescent="0.2">
      <c r="A79" s="668"/>
      <c r="B79" s="657"/>
      <c r="C79" s="657"/>
      <c r="D79" s="658"/>
      <c r="E79" s="663"/>
      <c r="F79" s="663"/>
      <c r="G79" s="663"/>
      <c r="H79" s="686"/>
      <c r="I79" s="754"/>
      <c r="J79" s="754"/>
      <c r="K79" s="755"/>
    </row>
    <row r="80" spans="1:14" ht="15" customHeight="1" x14ac:dyDescent="0.2">
      <c r="A80" s="668"/>
      <c r="B80" s="657"/>
      <c r="C80" s="657"/>
      <c r="D80" s="658"/>
      <c r="E80" s="663"/>
      <c r="F80" s="663"/>
      <c r="G80" s="663"/>
      <c r="H80" s="686"/>
      <c r="I80" s="754"/>
      <c r="J80" s="754"/>
      <c r="K80" s="755"/>
    </row>
    <row r="81" spans="1:14" ht="15" customHeight="1" x14ac:dyDescent="0.2">
      <c r="A81" s="668"/>
      <c r="B81" s="657"/>
      <c r="C81" s="657"/>
      <c r="D81" s="658"/>
      <c r="E81" s="663"/>
      <c r="F81" s="663"/>
      <c r="G81" s="663"/>
      <c r="H81" s="686"/>
      <c r="I81" s="754"/>
      <c r="J81" s="754"/>
      <c r="K81" s="755"/>
    </row>
    <row r="82" spans="1:14" ht="15" customHeight="1" x14ac:dyDescent="0.2">
      <c r="A82" s="668"/>
      <c r="B82" s="657"/>
      <c r="C82" s="657"/>
      <c r="D82" s="658"/>
      <c r="E82" s="663"/>
      <c r="F82" s="663"/>
      <c r="G82" s="663"/>
      <c r="H82" s="686"/>
      <c r="I82" s="754"/>
      <c r="J82" s="754"/>
      <c r="K82" s="755"/>
    </row>
    <row r="83" spans="1:14" ht="14.25" customHeight="1" x14ac:dyDescent="0.2">
      <c r="A83" s="670"/>
      <c r="B83" s="660"/>
      <c r="C83" s="660"/>
      <c r="D83" s="661"/>
      <c r="E83" s="664"/>
      <c r="F83" s="664"/>
      <c r="G83" s="664"/>
      <c r="H83" s="689"/>
      <c r="I83" s="690"/>
      <c r="J83" s="690"/>
      <c r="K83" s="756"/>
    </row>
    <row r="84" spans="1:14" ht="15" customHeight="1" x14ac:dyDescent="0.2">
      <c r="A84" s="633"/>
      <c r="B84" s="634"/>
      <c r="C84" s="634"/>
      <c r="D84" s="637"/>
      <c r="E84" s="27"/>
      <c r="F84" s="27"/>
      <c r="G84" s="29"/>
      <c r="H84" s="633"/>
      <c r="I84" s="692"/>
      <c r="J84" s="692"/>
      <c r="K84" s="757"/>
      <c r="L84" s="1">
        <f t="shared" ref="L84:L108" si="6">COUNTBLANK(E84:K84)</f>
        <v>7</v>
      </c>
      <c r="M84" s="1" t="str">
        <f>IF(AND(A84&lt;&gt;"",L84&gt;3),"No","Yes")</f>
        <v>Yes</v>
      </c>
      <c r="N84" s="1" t="str">
        <f t="shared" ref="N84:N108" si="7">CONCATENATE(E84,F84)</f>
        <v/>
      </c>
    </row>
    <row r="85" spans="1:14" ht="15" customHeight="1" x14ac:dyDescent="0.2">
      <c r="A85" s="633"/>
      <c r="B85" s="634"/>
      <c r="C85" s="634"/>
      <c r="D85" s="637"/>
      <c r="E85" s="27"/>
      <c r="F85" s="27"/>
      <c r="G85" s="29"/>
      <c r="H85" s="633"/>
      <c r="I85" s="634"/>
      <c r="J85" s="634"/>
      <c r="K85" s="637"/>
      <c r="L85" s="1">
        <f t="shared" si="6"/>
        <v>7</v>
      </c>
      <c r="M85" s="1" t="str">
        <f t="shared" ref="M85:M108" si="8">IF(AND(A85&lt;&gt;"",L85&gt;3),"No","Yes")</f>
        <v>Yes</v>
      </c>
      <c r="N85" s="1" t="str">
        <f t="shared" si="7"/>
        <v/>
      </c>
    </row>
    <row r="86" spans="1:14" ht="15" customHeight="1" x14ac:dyDescent="0.2">
      <c r="A86" s="633"/>
      <c r="B86" s="634"/>
      <c r="C86" s="634"/>
      <c r="D86" s="637"/>
      <c r="E86" s="27"/>
      <c r="F86" s="27"/>
      <c r="G86" s="29"/>
      <c r="H86" s="633"/>
      <c r="I86" s="634"/>
      <c r="J86" s="634"/>
      <c r="K86" s="637"/>
      <c r="L86" s="1">
        <f t="shared" si="6"/>
        <v>7</v>
      </c>
      <c r="M86" s="1" t="str">
        <f t="shared" si="8"/>
        <v>Yes</v>
      </c>
      <c r="N86" s="1" t="str">
        <f t="shared" si="7"/>
        <v/>
      </c>
    </row>
    <row r="87" spans="1:14" ht="15" customHeight="1" x14ac:dyDescent="0.2">
      <c r="A87" s="633"/>
      <c r="B87" s="634"/>
      <c r="C87" s="634"/>
      <c r="D87" s="637"/>
      <c r="E87" s="27"/>
      <c r="F87" s="27"/>
      <c r="G87" s="29"/>
      <c r="H87" s="633"/>
      <c r="I87" s="634"/>
      <c r="J87" s="634"/>
      <c r="K87" s="637"/>
      <c r="L87" s="1">
        <f t="shared" si="6"/>
        <v>7</v>
      </c>
      <c r="M87" s="1" t="str">
        <f t="shared" si="8"/>
        <v>Yes</v>
      </c>
      <c r="N87" s="1" t="str">
        <f t="shared" si="7"/>
        <v/>
      </c>
    </row>
    <row r="88" spans="1:14" ht="15" customHeight="1" x14ac:dyDescent="0.2">
      <c r="A88" s="633"/>
      <c r="B88" s="634"/>
      <c r="C88" s="634"/>
      <c r="D88" s="637"/>
      <c r="E88" s="27"/>
      <c r="F88" s="27"/>
      <c r="G88" s="29"/>
      <c r="H88" s="633"/>
      <c r="I88" s="634"/>
      <c r="J88" s="634"/>
      <c r="K88" s="637"/>
      <c r="L88" s="1">
        <f t="shared" si="6"/>
        <v>7</v>
      </c>
      <c r="M88" s="1" t="str">
        <f t="shared" si="8"/>
        <v>Yes</v>
      </c>
      <c r="N88" s="1" t="str">
        <f t="shared" si="7"/>
        <v/>
      </c>
    </row>
    <row r="89" spans="1:14" ht="15" customHeight="1" x14ac:dyDescent="0.2">
      <c r="A89" s="633"/>
      <c r="B89" s="634"/>
      <c r="C89" s="634"/>
      <c r="D89" s="637"/>
      <c r="E89" s="27"/>
      <c r="F89" s="27"/>
      <c r="G89" s="29"/>
      <c r="H89" s="633"/>
      <c r="I89" s="634"/>
      <c r="J89" s="634"/>
      <c r="K89" s="637"/>
      <c r="L89" s="1">
        <f t="shared" si="6"/>
        <v>7</v>
      </c>
      <c r="M89" s="1" t="str">
        <f t="shared" si="8"/>
        <v>Yes</v>
      </c>
      <c r="N89" s="1" t="str">
        <f t="shared" si="7"/>
        <v/>
      </c>
    </row>
    <row r="90" spans="1:14" ht="15" customHeight="1" x14ac:dyDescent="0.2">
      <c r="A90" s="633"/>
      <c r="B90" s="634"/>
      <c r="C90" s="634"/>
      <c r="D90" s="637"/>
      <c r="E90" s="27"/>
      <c r="F90" s="27"/>
      <c r="G90" s="29"/>
      <c r="H90" s="633"/>
      <c r="I90" s="634"/>
      <c r="J90" s="634"/>
      <c r="K90" s="637"/>
      <c r="L90" s="1">
        <f t="shared" si="6"/>
        <v>7</v>
      </c>
      <c r="M90" s="1" t="str">
        <f t="shared" si="8"/>
        <v>Yes</v>
      </c>
      <c r="N90" s="1" t="str">
        <f t="shared" si="7"/>
        <v/>
      </c>
    </row>
    <row r="91" spans="1:14" ht="15" customHeight="1" x14ac:dyDescent="0.2">
      <c r="A91" s="633"/>
      <c r="B91" s="634"/>
      <c r="C91" s="634"/>
      <c r="D91" s="637"/>
      <c r="E91" s="27"/>
      <c r="F91" s="27"/>
      <c r="G91" s="29"/>
      <c r="H91" s="633"/>
      <c r="I91" s="634"/>
      <c r="J91" s="634"/>
      <c r="K91" s="637"/>
      <c r="L91" s="1">
        <f t="shared" si="6"/>
        <v>7</v>
      </c>
      <c r="M91" s="1" t="str">
        <f t="shared" si="8"/>
        <v>Yes</v>
      </c>
      <c r="N91" s="1" t="str">
        <f t="shared" si="7"/>
        <v/>
      </c>
    </row>
    <row r="92" spans="1:14" ht="15" customHeight="1" x14ac:dyDescent="0.2">
      <c r="A92" s="633"/>
      <c r="B92" s="634"/>
      <c r="C92" s="634"/>
      <c r="D92" s="637"/>
      <c r="E92" s="27"/>
      <c r="F92" s="27"/>
      <c r="G92" s="29"/>
      <c r="H92" s="633"/>
      <c r="I92" s="634"/>
      <c r="J92" s="634"/>
      <c r="K92" s="637"/>
      <c r="L92" s="1">
        <f t="shared" si="6"/>
        <v>7</v>
      </c>
      <c r="M92" s="1" t="str">
        <f t="shared" si="8"/>
        <v>Yes</v>
      </c>
      <c r="N92" s="1" t="str">
        <f t="shared" si="7"/>
        <v/>
      </c>
    </row>
    <row r="93" spans="1:14" ht="15" customHeight="1" x14ac:dyDescent="0.2">
      <c r="A93" s="633"/>
      <c r="B93" s="634"/>
      <c r="C93" s="634"/>
      <c r="D93" s="637"/>
      <c r="E93" s="27"/>
      <c r="F93" s="27"/>
      <c r="G93" s="29"/>
      <c r="H93" s="633"/>
      <c r="I93" s="634"/>
      <c r="J93" s="634"/>
      <c r="K93" s="637"/>
      <c r="L93" s="1">
        <f t="shared" si="6"/>
        <v>7</v>
      </c>
      <c r="M93" s="1" t="str">
        <f t="shared" si="8"/>
        <v>Yes</v>
      </c>
      <c r="N93" s="1" t="str">
        <f t="shared" si="7"/>
        <v/>
      </c>
    </row>
    <row r="94" spans="1:14" ht="15" customHeight="1" x14ac:dyDescent="0.2">
      <c r="A94" s="633"/>
      <c r="B94" s="634"/>
      <c r="C94" s="634"/>
      <c r="D94" s="637"/>
      <c r="E94" s="27"/>
      <c r="F94" s="27"/>
      <c r="G94" s="29"/>
      <c r="H94" s="633"/>
      <c r="I94" s="634"/>
      <c r="J94" s="634"/>
      <c r="K94" s="637"/>
      <c r="L94" s="1">
        <f t="shared" si="6"/>
        <v>7</v>
      </c>
      <c r="M94" s="1" t="str">
        <f t="shared" si="8"/>
        <v>Yes</v>
      </c>
      <c r="N94" s="1" t="str">
        <f t="shared" si="7"/>
        <v/>
      </c>
    </row>
    <row r="95" spans="1:14" ht="15" customHeight="1" x14ac:dyDescent="0.2">
      <c r="A95" s="633"/>
      <c r="B95" s="634"/>
      <c r="C95" s="634"/>
      <c r="D95" s="637"/>
      <c r="E95" s="27"/>
      <c r="F95" s="27"/>
      <c r="G95" s="29"/>
      <c r="H95" s="633"/>
      <c r="I95" s="634"/>
      <c r="J95" s="634"/>
      <c r="K95" s="637"/>
      <c r="L95" s="1">
        <f t="shared" si="6"/>
        <v>7</v>
      </c>
      <c r="M95" s="1" t="str">
        <f t="shared" si="8"/>
        <v>Yes</v>
      </c>
      <c r="N95" s="1" t="str">
        <f t="shared" si="7"/>
        <v/>
      </c>
    </row>
    <row r="96" spans="1:14" ht="15" customHeight="1" x14ac:dyDescent="0.2">
      <c r="A96" s="633"/>
      <c r="B96" s="634"/>
      <c r="C96" s="634"/>
      <c r="D96" s="637"/>
      <c r="E96" s="27"/>
      <c r="F96" s="27"/>
      <c r="G96" s="29"/>
      <c r="H96" s="633"/>
      <c r="I96" s="634"/>
      <c r="J96" s="634"/>
      <c r="K96" s="637"/>
      <c r="L96" s="1">
        <f t="shared" si="6"/>
        <v>7</v>
      </c>
      <c r="M96" s="1" t="str">
        <f t="shared" si="8"/>
        <v>Yes</v>
      </c>
      <c r="N96" s="1" t="str">
        <f t="shared" si="7"/>
        <v/>
      </c>
    </row>
    <row r="97" spans="1:14" ht="15" customHeight="1" x14ac:dyDescent="0.2">
      <c r="A97" s="633"/>
      <c r="B97" s="634"/>
      <c r="C97" s="634"/>
      <c r="D97" s="637"/>
      <c r="E97" s="27"/>
      <c r="F97" s="27"/>
      <c r="G97" s="29"/>
      <c r="H97" s="633"/>
      <c r="I97" s="634"/>
      <c r="J97" s="634"/>
      <c r="K97" s="637"/>
      <c r="L97" s="1">
        <f t="shared" si="6"/>
        <v>7</v>
      </c>
      <c r="M97" s="1" t="str">
        <f t="shared" si="8"/>
        <v>Yes</v>
      </c>
      <c r="N97" s="1" t="str">
        <f t="shared" si="7"/>
        <v/>
      </c>
    </row>
    <row r="98" spans="1:14" ht="15" customHeight="1" x14ac:dyDescent="0.2">
      <c r="A98" s="633"/>
      <c r="B98" s="634"/>
      <c r="C98" s="634"/>
      <c r="D98" s="637"/>
      <c r="E98" s="27"/>
      <c r="F98" s="27"/>
      <c r="G98" s="29"/>
      <c r="H98" s="633"/>
      <c r="I98" s="634"/>
      <c r="J98" s="634"/>
      <c r="K98" s="637"/>
      <c r="L98" s="1">
        <f t="shared" si="6"/>
        <v>7</v>
      </c>
      <c r="M98" s="1" t="str">
        <f t="shared" si="8"/>
        <v>Yes</v>
      </c>
      <c r="N98" s="1" t="str">
        <f t="shared" si="7"/>
        <v/>
      </c>
    </row>
    <row r="99" spans="1:14" ht="15" customHeight="1" x14ac:dyDescent="0.2">
      <c r="A99" s="633"/>
      <c r="B99" s="634"/>
      <c r="C99" s="634"/>
      <c r="D99" s="637"/>
      <c r="E99" s="27"/>
      <c r="F99" s="27"/>
      <c r="G99" s="29"/>
      <c r="H99" s="633"/>
      <c r="I99" s="634"/>
      <c r="J99" s="634"/>
      <c r="K99" s="637"/>
      <c r="L99" s="1">
        <f t="shared" si="6"/>
        <v>7</v>
      </c>
      <c r="M99" s="1" t="str">
        <f t="shared" si="8"/>
        <v>Yes</v>
      </c>
      <c r="N99" s="1" t="str">
        <f t="shared" si="7"/>
        <v/>
      </c>
    </row>
    <row r="100" spans="1:14" ht="15" customHeight="1" x14ac:dyDescent="0.2">
      <c r="A100" s="633"/>
      <c r="B100" s="634"/>
      <c r="C100" s="634"/>
      <c r="D100" s="637"/>
      <c r="E100" s="27"/>
      <c r="F100" s="27"/>
      <c r="G100" s="29"/>
      <c r="H100" s="633"/>
      <c r="I100" s="634"/>
      <c r="J100" s="634"/>
      <c r="K100" s="637"/>
      <c r="L100" s="1">
        <f t="shared" si="6"/>
        <v>7</v>
      </c>
      <c r="M100" s="1" t="str">
        <f t="shared" si="8"/>
        <v>Yes</v>
      </c>
      <c r="N100" s="1" t="str">
        <f t="shared" si="7"/>
        <v/>
      </c>
    </row>
    <row r="101" spans="1:14" ht="15" customHeight="1" x14ac:dyDescent="0.2">
      <c r="A101" s="633"/>
      <c r="B101" s="634"/>
      <c r="C101" s="634"/>
      <c r="D101" s="637"/>
      <c r="E101" s="27"/>
      <c r="F101" s="27"/>
      <c r="G101" s="29"/>
      <c r="H101" s="633"/>
      <c r="I101" s="634"/>
      <c r="J101" s="634"/>
      <c r="K101" s="637"/>
      <c r="L101" s="1">
        <f t="shared" si="6"/>
        <v>7</v>
      </c>
      <c r="M101" s="1" t="str">
        <f t="shared" si="8"/>
        <v>Yes</v>
      </c>
      <c r="N101" s="1" t="str">
        <f t="shared" si="7"/>
        <v/>
      </c>
    </row>
    <row r="102" spans="1:14" ht="15" customHeight="1" x14ac:dyDescent="0.2">
      <c r="A102" s="633"/>
      <c r="B102" s="634"/>
      <c r="C102" s="634"/>
      <c r="D102" s="637"/>
      <c r="E102" s="27"/>
      <c r="F102" s="27"/>
      <c r="G102" s="29"/>
      <c r="H102" s="633"/>
      <c r="I102" s="634"/>
      <c r="J102" s="634"/>
      <c r="K102" s="637"/>
      <c r="L102" s="1">
        <f t="shared" si="6"/>
        <v>7</v>
      </c>
      <c r="M102" s="1" t="str">
        <f t="shared" si="8"/>
        <v>Yes</v>
      </c>
      <c r="N102" s="1" t="str">
        <f t="shared" si="7"/>
        <v/>
      </c>
    </row>
    <row r="103" spans="1:14" ht="15" customHeight="1" x14ac:dyDescent="0.2">
      <c r="A103" s="633"/>
      <c r="B103" s="634"/>
      <c r="C103" s="634"/>
      <c r="D103" s="637"/>
      <c r="E103" s="27"/>
      <c r="F103" s="27"/>
      <c r="G103" s="29"/>
      <c r="H103" s="633"/>
      <c r="I103" s="634"/>
      <c r="J103" s="634"/>
      <c r="K103" s="637"/>
      <c r="L103" s="1">
        <f t="shared" si="6"/>
        <v>7</v>
      </c>
      <c r="M103" s="1" t="str">
        <f t="shared" si="8"/>
        <v>Yes</v>
      </c>
      <c r="N103" s="1" t="str">
        <f t="shared" si="7"/>
        <v/>
      </c>
    </row>
    <row r="104" spans="1:14" ht="15" customHeight="1" x14ac:dyDescent="0.2">
      <c r="A104" s="633"/>
      <c r="B104" s="634"/>
      <c r="C104" s="634"/>
      <c r="D104" s="637"/>
      <c r="E104" s="27"/>
      <c r="F104" s="27"/>
      <c r="G104" s="29"/>
      <c r="H104" s="633"/>
      <c r="I104" s="634"/>
      <c r="J104" s="634"/>
      <c r="K104" s="637"/>
      <c r="L104" s="1">
        <f t="shared" si="6"/>
        <v>7</v>
      </c>
      <c r="M104" s="1" t="str">
        <f t="shared" si="8"/>
        <v>Yes</v>
      </c>
      <c r="N104" s="1" t="str">
        <f t="shared" si="7"/>
        <v/>
      </c>
    </row>
    <row r="105" spans="1:14" ht="15" customHeight="1" x14ac:dyDescent="0.2">
      <c r="A105" s="633"/>
      <c r="B105" s="634"/>
      <c r="C105" s="634"/>
      <c r="D105" s="637"/>
      <c r="E105" s="27"/>
      <c r="F105" s="27"/>
      <c r="G105" s="29"/>
      <c r="H105" s="633"/>
      <c r="I105" s="634"/>
      <c r="J105" s="634"/>
      <c r="K105" s="637"/>
      <c r="L105" s="1">
        <f t="shared" si="6"/>
        <v>7</v>
      </c>
      <c r="M105" s="1" t="str">
        <f t="shared" si="8"/>
        <v>Yes</v>
      </c>
      <c r="N105" s="1" t="str">
        <f t="shared" si="7"/>
        <v/>
      </c>
    </row>
    <row r="106" spans="1:14" ht="15" customHeight="1" x14ac:dyDescent="0.2">
      <c r="A106" s="633"/>
      <c r="B106" s="634"/>
      <c r="C106" s="634"/>
      <c r="D106" s="637"/>
      <c r="E106" s="27"/>
      <c r="F106" s="27"/>
      <c r="G106" s="29"/>
      <c r="H106" s="633"/>
      <c r="I106" s="634"/>
      <c r="J106" s="634"/>
      <c r="K106" s="637"/>
      <c r="L106" s="1">
        <f t="shared" si="6"/>
        <v>7</v>
      </c>
      <c r="M106" s="1" t="str">
        <f t="shared" si="8"/>
        <v>Yes</v>
      </c>
      <c r="N106" s="1" t="str">
        <f t="shared" si="7"/>
        <v/>
      </c>
    </row>
    <row r="107" spans="1:14" ht="15" customHeight="1" x14ac:dyDescent="0.2">
      <c r="A107" s="633"/>
      <c r="B107" s="634"/>
      <c r="C107" s="634"/>
      <c r="D107" s="637"/>
      <c r="E107" s="27"/>
      <c r="F107" s="27"/>
      <c r="G107" s="29"/>
      <c r="H107" s="633"/>
      <c r="I107" s="634"/>
      <c r="J107" s="634"/>
      <c r="K107" s="637"/>
      <c r="L107" s="1">
        <f t="shared" si="6"/>
        <v>7</v>
      </c>
      <c r="M107" s="1" t="str">
        <f t="shared" si="8"/>
        <v>Yes</v>
      </c>
      <c r="N107" s="1" t="str">
        <f t="shared" si="7"/>
        <v/>
      </c>
    </row>
    <row r="108" spans="1:14" ht="15" customHeight="1" x14ac:dyDescent="0.2">
      <c r="A108" s="633"/>
      <c r="B108" s="634"/>
      <c r="C108" s="634"/>
      <c r="D108" s="637"/>
      <c r="E108" s="27"/>
      <c r="F108" s="27"/>
      <c r="G108" s="29"/>
      <c r="H108" s="633"/>
      <c r="I108" s="634"/>
      <c r="J108" s="634"/>
      <c r="K108" s="637"/>
      <c r="L108" s="1">
        <f t="shared" si="6"/>
        <v>7</v>
      </c>
      <c r="M108" s="1" t="str">
        <f t="shared" si="8"/>
        <v>Yes</v>
      </c>
      <c r="N108" s="1" t="str">
        <f t="shared" si="7"/>
        <v/>
      </c>
    </row>
    <row r="109" spans="1:14" ht="15" customHeight="1" x14ac:dyDescent="0.2">
      <c r="A109" s="751" t="s">
        <v>96</v>
      </c>
      <c r="B109" s="645"/>
      <c r="C109" s="645"/>
      <c r="D109" s="645"/>
      <c r="E109" s="645"/>
      <c r="F109" s="646"/>
      <c r="G109" s="647">
        <f>SUM(G84:G108)</f>
        <v>0</v>
      </c>
      <c r="H109" s="648"/>
      <c r="I109" s="648"/>
      <c r="J109" s="648"/>
      <c r="K109" s="752"/>
      <c r="M109" s="1">
        <f>COUNTIF(M84:M108,"Yes")</f>
        <v>25</v>
      </c>
    </row>
    <row r="110" spans="1:14" ht="15" customHeight="1" x14ac:dyDescent="0.2">
      <c r="A110" s="747"/>
      <c r="B110" s="673"/>
      <c r="C110" s="673"/>
      <c r="D110" s="673"/>
      <c r="E110" s="673"/>
      <c r="F110" s="673"/>
      <c r="G110" s="673"/>
      <c r="H110" s="673"/>
      <c r="I110" s="673"/>
      <c r="J110" s="673"/>
      <c r="K110" s="748"/>
    </row>
    <row r="111" spans="1:14" ht="18" customHeight="1" x14ac:dyDescent="0.2">
      <c r="A111" s="749" t="s">
        <v>97</v>
      </c>
      <c r="B111" s="651"/>
      <c r="C111" s="651"/>
      <c r="D111" s="651"/>
      <c r="E111" s="651"/>
      <c r="F111" s="651"/>
      <c r="G111" s="651"/>
      <c r="H111" s="651"/>
      <c r="I111" s="651"/>
      <c r="J111" s="651"/>
      <c r="K111" s="750"/>
    </row>
    <row r="112" spans="1:14" ht="18" customHeight="1" x14ac:dyDescent="0.2">
      <c r="A112" s="749" t="s">
        <v>480</v>
      </c>
      <c r="B112" s="651"/>
      <c r="C112" s="651"/>
      <c r="D112" s="651"/>
      <c r="E112" s="651"/>
      <c r="F112" s="651"/>
      <c r="G112" s="651"/>
      <c r="H112" s="651"/>
      <c r="I112" s="651"/>
      <c r="J112" s="651"/>
      <c r="K112" s="750"/>
    </row>
    <row r="113" spans="1:14" ht="15" customHeight="1" x14ac:dyDescent="0.2">
      <c r="A113" s="666" t="s">
        <v>49</v>
      </c>
      <c r="B113" s="654"/>
      <c r="C113" s="654"/>
      <c r="D113" s="655"/>
      <c r="E113" s="662" t="s">
        <v>140</v>
      </c>
      <c r="F113" s="662" t="s">
        <v>139</v>
      </c>
      <c r="G113" s="665" t="s">
        <v>104</v>
      </c>
      <c r="H113" s="666" t="s">
        <v>53</v>
      </c>
      <c r="I113" s="654"/>
      <c r="J113" s="654"/>
      <c r="K113" s="655"/>
    </row>
    <row r="114" spans="1:14" ht="15" customHeight="1" x14ac:dyDescent="0.2">
      <c r="A114" s="668"/>
      <c r="B114" s="657"/>
      <c r="C114" s="657"/>
      <c r="D114" s="658"/>
      <c r="E114" s="663"/>
      <c r="F114" s="663"/>
      <c r="G114" s="663"/>
      <c r="H114" s="668"/>
      <c r="I114" s="657"/>
      <c r="J114" s="657"/>
      <c r="K114" s="658"/>
    </row>
    <row r="115" spans="1:14" ht="15" customHeight="1" x14ac:dyDescent="0.2">
      <c r="A115" s="668"/>
      <c r="B115" s="657"/>
      <c r="C115" s="657"/>
      <c r="D115" s="658"/>
      <c r="E115" s="663"/>
      <c r="F115" s="663"/>
      <c r="G115" s="663"/>
      <c r="H115" s="668"/>
      <c r="I115" s="657"/>
      <c r="J115" s="657"/>
      <c r="K115" s="658"/>
    </row>
    <row r="116" spans="1:14" ht="15" customHeight="1" x14ac:dyDescent="0.2">
      <c r="A116" s="668"/>
      <c r="B116" s="657"/>
      <c r="C116" s="657"/>
      <c r="D116" s="658"/>
      <c r="E116" s="663"/>
      <c r="F116" s="663"/>
      <c r="G116" s="663"/>
      <c r="H116" s="668"/>
      <c r="I116" s="657"/>
      <c r="J116" s="657"/>
      <c r="K116" s="658"/>
    </row>
    <row r="117" spans="1:14" ht="15" customHeight="1" x14ac:dyDescent="0.2">
      <c r="A117" s="668"/>
      <c r="B117" s="657"/>
      <c r="C117" s="657"/>
      <c r="D117" s="658"/>
      <c r="E117" s="663"/>
      <c r="F117" s="663"/>
      <c r="G117" s="663"/>
      <c r="H117" s="668"/>
      <c r="I117" s="657"/>
      <c r="J117" s="657"/>
      <c r="K117" s="658"/>
    </row>
    <row r="118" spans="1:14" ht="14.25" customHeight="1" x14ac:dyDescent="0.2">
      <c r="A118" s="670"/>
      <c r="B118" s="660"/>
      <c r="C118" s="660"/>
      <c r="D118" s="661"/>
      <c r="E118" s="664"/>
      <c r="F118" s="664"/>
      <c r="G118" s="664"/>
      <c r="H118" s="670"/>
      <c r="I118" s="660"/>
      <c r="J118" s="660"/>
      <c r="K118" s="661"/>
    </row>
    <row r="119" spans="1:14" ht="15" customHeight="1" x14ac:dyDescent="0.2">
      <c r="A119" s="633"/>
      <c r="B119" s="634"/>
      <c r="C119" s="634"/>
      <c r="D119" s="637"/>
      <c r="E119" s="27"/>
      <c r="F119" s="27"/>
      <c r="G119" s="29"/>
      <c r="H119" s="633"/>
      <c r="I119" s="634"/>
      <c r="J119" s="634"/>
      <c r="K119" s="637"/>
      <c r="L119" s="1">
        <f t="shared" ref="L119:L143" si="9">COUNTBLANK(E119:K119)</f>
        <v>7</v>
      </c>
      <c r="M119" s="1" t="str">
        <f>IF(AND(A119&lt;&gt;"",L119&gt;3),"No","Yes")</f>
        <v>Yes</v>
      </c>
      <c r="N119" s="1" t="str">
        <f t="shared" ref="N119:N143" si="10">CONCATENATE(E119,F119)</f>
        <v/>
      </c>
    </row>
    <row r="120" spans="1:14" ht="15" customHeight="1" x14ac:dyDescent="0.2">
      <c r="A120" s="633"/>
      <c r="B120" s="634"/>
      <c r="C120" s="634"/>
      <c r="D120" s="637"/>
      <c r="E120" s="27"/>
      <c r="F120" s="27"/>
      <c r="G120" s="29"/>
      <c r="H120" s="633"/>
      <c r="I120" s="634"/>
      <c r="J120" s="634"/>
      <c r="K120" s="637"/>
      <c r="L120" s="1">
        <f t="shared" si="9"/>
        <v>7</v>
      </c>
      <c r="M120" s="1" t="str">
        <f t="shared" ref="M120:M143" si="11">IF(AND(A120&lt;&gt;"",L120&gt;3),"No","Yes")</f>
        <v>Yes</v>
      </c>
      <c r="N120" s="1" t="str">
        <f t="shared" si="10"/>
        <v/>
      </c>
    </row>
    <row r="121" spans="1:14" ht="15" customHeight="1" x14ac:dyDescent="0.2">
      <c r="A121" s="633"/>
      <c r="B121" s="634"/>
      <c r="C121" s="634"/>
      <c r="D121" s="637"/>
      <c r="E121" s="27"/>
      <c r="F121" s="27"/>
      <c r="G121" s="29"/>
      <c r="H121" s="633"/>
      <c r="I121" s="634"/>
      <c r="J121" s="634"/>
      <c r="K121" s="637"/>
      <c r="L121" s="1">
        <f t="shared" si="9"/>
        <v>7</v>
      </c>
      <c r="M121" s="1" t="str">
        <f t="shared" si="11"/>
        <v>Yes</v>
      </c>
      <c r="N121" s="1" t="str">
        <f t="shared" si="10"/>
        <v/>
      </c>
    </row>
    <row r="122" spans="1:14" ht="15" customHeight="1" x14ac:dyDescent="0.2">
      <c r="A122" s="633"/>
      <c r="B122" s="634"/>
      <c r="C122" s="634"/>
      <c r="D122" s="637"/>
      <c r="E122" s="27"/>
      <c r="F122" s="27"/>
      <c r="G122" s="29"/>
      <c r="H122" s="633"/>
      <c r="I122" s="634"/>
      <c r="J122" s="634"/>
      <c r="K122" s="637"/>
      <c r="L122" s="1">
        <f t="shared" si="9"/>
        <v>7</v>
      </c>
      <c r="M122" s="1" t="str">
        <f t="shared" si="11"/>
        <v>Yes</v>
      </c>
      <c r="N122" s="1" t="str">
        <f t="shared" si="10"/>
        <v/>
      </c>
    </row>
    <row r="123" spans="1:14" ht="15" customHeight="1" x14ac:dyDescent="0.2">
      <c r="A123" s="633"/>
      <c r="B123" s="634"/>
      <c r="C123" s="634"/>
      <c r="D123" s="637"/>
      <c r="E123" s="27"/>
      <c r="F123" s="27"/>
      <c r="G123" s="29"/>
      <c r="H123" s="633"/>
      <c r="I123" s="634"/>
      <c r="J123" s="634"/>
      <c r="K123" s="637"/>
      <c r="L123" s="1">
        <f t="shared" si="9"/>
        <v>7</v>
      </c>
      <c r="M123" s="1" t="str">
        <f t="shared" si="11"/>
        <v>Yes</v>
      </c>
      <c r="N123" s="1" t="str">
        <f t="shared" si="10"/>
        <v/>
      </c>
    </row>
    <row r="124" spans="1:14" ht="15" customHeight="1" x14ac:dyDescent="0.2">
      <c r="A124" s="633"/>
      <c r="B124" s="634"/>
      <c r="C124" s="634"/>
      <c r="D124" s="637"/>
      <c r="E124" s="27"/>
      <c r="F124" s="27"/>
      <c r="G124" s="29"/>
      <c r="H124" s="633"/>
      <c r="I124" s="634"/>
      <c r="J124" s="634"/>
      <c r="K124" s="637"/>
      <c r="L124" s="1">
        <f t="shared" si="9"/>
        <v>7</v>
      </c>
      <c r="M124" s="1" t="str">
        <f t="shared" si="11"/>
        <v>Yes</v>
      </c>
      <c r="N124" s="1" t="str">
        <f t="shared" si="10"/>
        <v/>
      </c>
    </row>
    <row r="125" spans="1:14" ht="15" customHeight="1" x14ac:dyDescent="0.2">
      <c r="A125" s="633"/>
      <c r="B125" s="634"/>
      <c r="C125" s="634"/>
      <c r="D125" s="637"/>
      <c r="E125" s="27"/>
      <c r="F125" s="27"/>
      <c r="G125" s="29"/>
      <c r="H125" s="633"/>
      <c r="I125" s="634"/>
      <c r="J125" s="634"/>
      <c r="K125" s="637"/>
      <c r="L125" s="1">
        <f t="shared" si="9"/>
        <v>7</v>
      </c>
      <c r="M125" s="1" t="str">
        <f t="shared" si="11"/>
        <v>Yes</v>
      </c>
      <c r="N125" s="1" t="str">
        <f t="shared" si="10"/>
        <v/>
      </c>
    </row>
    <row r="126" spans="1:14" ht="15" customHeight="1" x14ac:dyDescent="0.2">
      <c r="A126" s="633"/>
      <c r="B126" s="634"/>
      <c r="C126" s="634"/>
      <c r="D126" s="637"/>
      <c r="E126" s="27"/>
      <c r="F126" s="27"/>
      <c r="G126" s="29"/>
      <c r="H126" s="633"/>
      <c r="I126" s="634"/>
      <c r="J126" s="634"/>
      <c r="K126" s="637"/>
      <c r="L126" s="1">
        <f t="shared" si="9"/>
        <v>7</v>
      </c>
      <c r="M126" s="1" t="str">
        <f t="shared" si="11"/>
        <v>Yes</v>
      </c>
      <c r="N126" s="1" t="str">
        <f t="shared" si="10"/>
        <v/>
      </c>
    </row>
    <row r="127" spans="1:14" ht="15" customHeight="1" x14ac:dyDescent="0.2">
      <c r="A127" s="633"/>
      <c r="B127" s="634"/>
      <c r="C127" s="634"/>
      <c r="D127" s="637"/>
      <c r="E127" s="27"/>
      <c r="F127" s="27"/>
      <c r="G127" s="29"/>
      <c r="H127" s="633"/>
      <c r="I127" s="634"/>
      <c r="J127" s="634"/>
      <c r="K127" s="637"/>
      <c r="L127" s="1">
        <f t="shared" si="9"/>
        <v>7</v>
      </c>
      <c r="M127" s="1" t="str">
        <f t="shared" si="11"/>
        <v>Yes</v>
      </c>
      <c r="N127" s="1" t="str">
        <f t="shared" si="10"/>
        <v/>
      </c>
    </row>
    <row r="128" spans="1:14" ht="15" customHeight="1" x14ac:dyDescent="0.2">
      <c r="A128" s="633"/>
      <c r="B128" s="634"/>
      <c r="C128" s="634"/>
      <c r="D128" s="637"/>
      <c r="E128" s="27"/>
      <c r="F128" s="27"/>
      <c r="G128" s="29"/>
      <c r="H128" s="633"/>
      <c r="I128" s="634"/>
      <c r="J128" s="634"/>
      <c r="K128" s="637"/>
      <c r="L128" s="1">
        <f t="shared" si="9"/>
        <v>7</v>
      </c>
      <c r="M128" s="1" t="str">
        <f t="shared" si="11"/>
        <v>Yes</v>
      </c>
      <c r="N128" s="1" t="str">
        <f t="shared" si="10"/>
        <v/>
      </c>
    </row>
    <row r="129" spans="1:14" ht="15" customHeight="1" x14ac:dyDescent="0.2">
      <c r="A129" s="633"/>
      <c r="B129" s="634"/>
      <c r="C129" s="634"/>
      <c r="D129" s="637"/>
      <c r="E129" s="27"/>
      <c r="F129" s="27"/>
      <c r="G129" s="29"/>
      <c r="H129" s="633"/>
      <c r="I129" s="634"/>
      <c r="J129" s="634"/>
      <c r="K129" s="637"/>
      <c r="L129" s="1">
        <f t="shared" si="9"/>
        <v>7</v>
      </c>
      <c r="M129" s="1" t="str">
        <f t="shared" si="11"/>
        <v>Yes</v>
      </c>
      <c r="N129" s="1" t="str">
        <f t="shared" si="10"/>
        <v/>
      </c>
    </row>
    <row r="130" spans="1:14" ht="15" customHeight="1" x14ac:dyDescent="0.2">
      <c r="A130" s="633"/>
      <c r="B130" s="634"/>
      <c r="C130" s="634"/>
      <c r="D130" s="637"/>
      <c r="E130" s="27"/>
      <c r="F130" s="27"/>
      <c r="G130" s="29"/>
      <c r="H130" s="633"/>
      <c r="I130" s="634"/>
      <c r="J130" s="634"/>
      <c r="K130" s="637"/>
      <c r="L130" s="1">
        <f t="shared" si="9"/>
        <v>7</v>
      </c>
      <c r="M130" s="1" t="str">
        <f t="shared" si="11"/>
        <v>Yes</v>
      </c>
      <c r="N130" s="1" t="str">
        <f t="shared" si="10"/>
        <v/>
      </c>
    </row>
    <row r="131" spans="1:14" ht="15" customHeight="1" x14ac:dyDescent="0.2">
      <c r="A131" s="633"/>
      <c r="B131" s="634"/>
      <c r="C131" s="634"/>
      <c r="D131" s="637"/>
      <c r="E131" s="27"/>
      <c r="F131" s="27"/>
      <c r="G131" s="29"/>
      <c r="H131" s="633"/>
      <c r="I131" s="634"/>
      <c r="J131" s="634"/>
      <c r="K131" s="637"/>
      <c r="L131" s="1">
        <f t="shared" si="9"/>
        <v>7</v>
      </c>
      <c r="M131" s="1" t="str">
        <f t="shared" si="11"/>
        <v>Yes</v>
      </c>
      <c r="N131" s="1" t="str">
        <f t="shared" si="10"/>
        <v/>
      </c>
    </row>
    <row r="132" spans="1:14" ht="15" customHeight="1" x14ac:dyDescent="0.2">
      <c r="A132" s="633"/>
      <c r="B132" s="634"/>
      <c r="C132" s="634"/>
      <c r="D132" s="637"/>
      <c r="E132" s="27"/>
      <c r="F132" s="27"/>
      <c r="G132" s="29"/>
      <c r="H132" s="633"/>
      <c r="I132" s="634"/>
      <c r="J132" s="634"/>
      <c r="K132" s="637"/>
      <c r="L132" s="1">
        <f t="shared" si="9"/>
        <v>7</v>
      </c>
      <c r="M132" s="1" t="str">
        <f t="shared" si="11"/>
        <v>Yes</v>
      </c>
      <c r="N132" s="1" t="str">
        <f t="shared" si="10"/>
        <v/>
      </c>
    </row>
    <row r="133" spans="1:14" ht="15" customHeight="1" x14ac:dyDescent="0.2">
      <c r="A133" s="633"/>
      <c r="B133" s="634"/>
      <c r="C133" s="634"/>
      <c r="D133" s="637"/>
      <c r="E133" s="27"/>
      <c r="F133" s="27"/>
      <c r="G133" s="29"/>
      <c r="H133" s="633"/>
      <c r="I133" s="634"/>
      <c r="J133" s="634"/>
      <c r="K133" s="637"/>
      <c r="L133" s="1">
        <f t="shared" si="9"/>
        <v>7</v>
      </c>
      <c r="M133" s="1" t="str">
        <f t="shared" si="11"/>
        <v>Yes</v>
      </c>
      <c r="N133" s="1" t="str">
        <f t="shared" si="10"/>
        <v/>
      </c>
    </row>
    <row r="134" spans="1:14" ht="15" customHeight="1" x14ac:dyDescent="0.2">
      <c r="A134" s="633"/>
      <c r="B134" s="634"/>
      <c r="C134" s="634"/>
      <c r="D134" s="637"/>
      <c r="E134" s="27"/>
      <c r="F134" s="27"/>
      <c r="G134" s="29"/>
      <c r="H134" s="633"/>
      <c r="I134" s="634"/>
      <c r="J134" s="634"/>
      <c r="K134" s="637"/>
      <c r="L134" s="1">
        <f t="shared" si="9"/>
        <v>7</v>
      </c>
      <c r="M134" s="1" t="str">
        <f t="shared" si="11"/>
        <v>Yes</v>
      </c>
      <c r="N134" s="1" t="str">
        <f t="shared" si="10"/>
        <v/>
      </c>
    </row>
    <row r="135" spans="1:14" ht="15" customHeight="1" x14ac:dyDescent="0.2">
      <c r="A135" s="633"/>
      <c r="B135" s="634"/>
      <c r="C135" s="634"/>
      <c r="D135" s="637"/>
      <c r="E135" s="27"/>
      <c r="F135" s="27"/>
      <c r="G135" s="29"/>
      <c r="H135" s="633"/>
      <c r="I135" s="634"/>
      <c r="J135" s="634"/>
      <c r="K135" s="637"/>
      <c r="L135" s="1">
        <f t="shared" si="9"/>
        <v>7</v>
      </c>
      <c r="M135" s="1" t="str">
        <f t="shared" si="11"/>
        <v>Yes</v>
      </c>
      <c r="N135" s="1" t="str">
        <f t="shared" si="10"/>
        <v/>
      </c>
    </row>
    <row r="136" spans="1:14" ht="15" customHeight="1" x14ac:dyDescent="0.2">
      <c r="A136" s="633"/>
      <c r="B136" s="634"/>
      <c r="C136" s="634"/>
      <c r="D136" s="637"/>
      <c r="E136" s="27"/>
      <c r="F136" s="27"/>
      <c r="G136" s="29"/>
      <c r="H136" s="633"/>
      <c r="I136" s="634"/>
      <c r="J136" s="634"/>
      <c r="K136" s="637"/>
      <c r="L136" s="1">
        <f t="shared" si="9"/>
        <v>7</v>
      </c>
      <c r="M136" s="1" t="str">
        <f t="shared" si="11"/>
        <v>Yes</v>
      </c>
      <c r="N136" s="1" t="str">
        <f t="shared" si="10"/>
        <v/>
      </c>
    </row>
    <row r="137" spans="1:14" ht="15" customHeight="1" x14ac:dyDescent="0.2">
      <c r="A137" s="633"/>
      <c r="B137" s="634"/>
      <c r="C137" s="634"/>
      <c r="D137" s="637"/>
      <c r="E137" s="27"/>
      <c r="F137" s="27"/>
      <c r="G137" s="29"/>
      <c r="H137" s="633"/>
      <c r="I137" s="634"/>
      <c r="J137" s="634"/>
      <c r="K137" s="637"/>
      <c r="L137" s="1">
        <f t="shared" si="9"/>
        <v>7</v>
      </c>
      <c r="M137" s="1" t="str">
        <f t="shared" si="11"/>
        <v>Yes</v>
      </c>
      <c r="N137" s="1" t="str">
        <f t="shared" si="10"/>
        <v/>
      </c>
    </row>
    <row r="138" spans="1:14" ht="15" customHeight="1" x14ac:dyDescent="0.2">
      <c r="A138" s="633"/>
      <c r="B138" s="634"/>
      <c r="C138" s="634"/>
      <c r="D138" s="637"/>
      <c r="E138" s="27"/>
      <c r="F138" s="27"/>
      <c r="G138" s="29"/>
      <c r="H138" s="633"/>
      <c r="I138" s="634"/>
      <c r="J138" s="634"/>
      <c r="K138" s="637"/>
      <c r="L138" s="1">
        <f t="shared" si="9"/>
        <v>7</v>
      </c>
      <c r="M138" s="1" t="str">
        <f t="shared" si="11"/>
        <v>Yes</v>
      </c>
      <c r="N138" s="1" t="str">
        <f t="shared" si="10"/>
        <v/>
      </c>
    </row>
    <row r="139" spans="1:14" ht="15" customHeight="1" x14ac:dyDescent="0.2">
      <c r="A139" s="633"/>
      <c r="B139" s="634"/>
      <c r="C139" s="634"/>
      <c r="D139" s="637"/>
      <c r="E139" s="27"/>
      <c r="F139" s="27"/>
      <c r="G139" s="29"/>
      <c r="H139" s="633"/>
      <c r="I139" s="634"/>
      <c r="J139" s="634"/>
      <c r="K139" s="637"/>
      <c r="L139" s="1">
        <f t="shared" si="9"/>
        <v>7</v>
      </c>
      <c r="M139" s="1" t="str">
        <f t="shared" si="11"/>
        <v>Yes</v>
      </c>
      <c r="N139" s="1" t="str">
        <f t="shared" si="10"/>
        <v/>
      </c>
    </row>
    <row r="140" spans="1:14" ht="15" customHeight="1" x14ac:dyDescent="0.2">
      <c r="A140" s="633"/>
      <c r="B140" s="634"/>
      <c r="C140" s="634"/>
      <c r="D140" s="637"/>
      <c r="E140" s="27"/>
      <c r="F140" s="27"/>
      <c r="G140" s="29"/>
      <c r="H140" s="633"/>
      <c r="I140" s="634"/>
      <c r="J140" s="634"/>
      <c r="K140" s="637"/>
      <c r="L140" s="1">
        <f t="shared" si="9"/>
        <v>7</v>
      </c>
      <c r="M140" s="1" t="str">
        <f t="shared" si="11"/>
        <v>Yes</v>
      </c>
      <c r="N140" s="1" t="str">
        <f t="shared" si="10"/>
        <v/>
      </c>
    </row>
    <row r="141" spans="1:14" ht="15" customHeight="1" x14ac:dyDescent="0.2">
      <c r="A141" s="633"/>
      <c r="B141" s="634"/>
      <c r="C141" s="634"/>
      <c r="D141" s="637"/>
      <c r="E141" s="27"/>
      <c r="F141" s="27"/>
      <c r="G141" s="29"/>
      <c r="H141" s="633"/>
      <c r="I141" s="634"/>
      <c r="J141" s="634"/>
      <c r="K141" s="637"/>
      <c r="L141" s="1">
        <f t="shared" si="9"/>
        <v>7</v>
      </c>
      <c r="M141" s="1" t="str">
        <f t="shared" si="11"/>
        <v>Yes</v>
      </c>
      <c r="N141" s="1" t="str">
        <f t="shared" si="10"/>
        <v/>
      </c>
    </row>
    <row r="142" spans="1:14" ht="15" customHeight="1" x14ac:dyDescent="0.2">
      <c r="A142" s="633"/>
      <c r="B142" s="634"/>
      <c r="C142" s="634"/>
      <c r="D142" s="637"/>
      <c r="E142" s="27"/>
      <c r="F142" s="27"/>
      <c r="G142" s="29"/>
      <c r="H142" s="633"/>
      <c r="I142" s="634"/>
      <c r="J142" s="634"/>
      <c r="K142" s="637"/>
      <c r="L142" s="1">
        <f t="shared" si="9"/>
        <v>7</v>
      </c>
      <c r="M142" s="1" t="str">
        <f t="shared" si="11"/>
        <v>Yes</v>
      </c>
      <c r="N142" s="1" t="str">
        <f t="shared" si="10"/>
        <v/>
      </c>
    </row>
    <row r="143" spans="1:14" ht="15" customHeight="1" x14ac:dyDescent="0.2">
      <c r="A143" s="633"/>
      <c r="B143" s="634"/>
      <c r="C143" s="634"/>
      <c r="D143" s="637"/>
      <c r="E143" s="27"/>
      <c r="F143" s="27"/>
      <c r="G143" s="29"/>
      <c r="H143" s="633"/>
      <c r="I143" s="634"/>
      <c r="J143" s="634"/>
      <c r="K143" s="637"/>
      <c r="L143" s="1">
        <f t="shared" si="9"/>
        <v>7</v>
      </c>
      <c r="M143" s="1" t="str">
        <f t="shared" si="11"/>
        <v>Yes</v>
      </c>
      <c r="N143" s="1" t="str">
        <f t="shared" si="10"/>
        <v/>
      </c>
    </row>
    <row r="144" spans="1:14" ht="15" customHeight="1" x14ac:dyDescent="0.2">
      <c r="A144" s="751" t="s">
        <v>98</v>
      </c>
      <c r="B144" s="645"/>
      <c r="C144" s="645"/>
      <c r="D144" s="645"/>
      <c r="E144" s="645"/>
      <c r="F144" s="646"/>
      <c r="G144" s="647">
        <f>SUM(G119:G143)</f>
        <v>0</v>
      </c>
      <c r="H144" s="648"/>
      <c r="I144" s="648"/>
      <c r="J144" s="648"/>
      <c r="K144" s="752"/>
      <c r="M144" s="1">
        <f>COUNTIF(M119:M143,"Yes")</f>
        <v>25</v>
      </c>
    </row>
    <row r="145" spans="1:14" ht="15" customHeight="1" x14ac:dyDescent="0.2">
      <c r="A145" s="747"/>
      <c r="B145" s="673"/>
      <c r="C145" s="673"/>
      <c r="D145" s="673"/>
      <c r="E145" s="673"/>
      <c r="F145" s="673"/>
      <c r="G145" s="673"/>
      <c r="H145" s="673"/>
      <c r="I145" s="673"/>
      <c r="J145" s="673"/>
      <c r="K145" s="748"/>
    </row>
    <row r="146" spans="1:14" ht="34.5" customHeight="1" x14ac:dyDescent="0.2">
      <c r="A146" s="749" t="s">
        <v>477</v>
      </c>
      <c r="B146" s="651"/>
      <c r="C146" s="651"/>
      <c r="D146" s="651"/>
      <c r="E146" s="651"/>
      <c r="F146" s="651"/>
      <c r="G146" s="651"/>
      <c r="H146" s="651"/>
      <c r="I146" s="651"/>
      <c r="J146" s="651"/>
      <c r="K146" s="750"/>
    </row>
    <row r="147" spans="1:14" ht="18" customHeight="1" x14ac:dyDescent="0.2">
      <c r="A147" s="749" t="s">
        <v>480</v>
      </c>
      <c r="B147" s="651"/>
      <c r="C147" s="651"/>
      <c r="D147" s="651"/>
      <c r="E147" s="651"/>
      <c r="F147" s="651"/>
      <c r="G147" s="651"/>
      <c r="H147" s="651"/>
      <c r="I147" s="651"/>
      <c r="J147" s="651"/>
      <c r="K147" s="750"/>
    </row>
    <row r="148" spans="1:14" ht="15" customHeight="1" x14ac:dyDescent="0.2">
      <c r="A148" s="666" t="s">
        <v>49</v>
      </c>
      <c r="B148" s="654"/>
      <c r="C148" s="654"/>
      <c r="D148" s="655"/>
      <c r="E148" s="662" t="s">
        <v>140</v>
      </c>
      <c r="F148" s="662" t="s">
        <v>139</v>
      </c>
      <c r="G148" s="665" t="s">
        <v>104</v>
      </c>
      <c r="H148" s="666" t="s">
        <v>53</v>
      </c>
      <c r="I148" s="654"/>
      <c r="J148" s="654"/>
      <c r="K148" s="655"/>
    </row>
    <row r="149" spans="1:14" ht="15" customHeight="1" x14ac:dyDescent="0.2">
      <c r="A149" s="668"/>
      <c r="B149" s="657"/>
      <c r="C149" s="657"/>
      <c r="D149" s="658"/>
      <c r="E149" s="663"/>
      <c r="F149" s="663"/>
      <c r="G149" s="663"/>
      <c r="H149" s="668"/>
      <c r="I149" s="657"/>
      <c r="J149" s="657"/>
      <c r="K149" s="658"/>
    </row>
    <row r="150" spans="1:14" ht="15" customHeight="1" x14ac:dyDescent="0.2">
      <c r="A150" s="668"/>
      <c r="B150" s="657"/>
      <c r="C150" s="657"/>
      <c r="D150" s="658"/>
      <c r="E150" s="663"/>
      <c r="F150" s="663"/>
      <c r="G150" s="663"/>
      <c r="H150" s="668"/>
      <c r="I150" s="657"/>
      <c r="J150" s="657"/>
      <c r="K150" s="658"/>
    </row>
    <row r="151" spans="1:14" ht="15" customHeight="1" x14ac:dyDescent="0.2">
      <c r="A151" s="668"/>
      <c r="B151" s="657"/>
      <c r="C151" s="657"/>
      <c r="D151" s="658"/>
      <c r="E151" s="663"/>
      <c r="F151" s="663"/>
      <c r="G151" s="663"/>
      <c r="H151" s="668"/>
      <c r="I151" s="657"/>
      <c r="J151" s="657"/>
      <c r="K151" s="658"/>
    </row>
    <row r="152" spans="1:14" ht="15" customHeight="1" x14ac:dyDescent="0.2">
      <c r="A152" s="668"/>
      <c r="B152" s="657"/>
      <c r="C152" s="657"/>
      <c r="D152" s="658"/>
      <c r="E152" s="663"/>
      <c r="F152" s="663"/>
      <c r="G152" s="663"/>
      <c r="H152" s="668"/>
      <c r="I152" s="657"/>
      <c r="J152" s="657"/>
      <c r="K152" s="658"/>
    </row>
    <row r="153" spans="1:14" ht="14.25" customHeight="1" x14ac:dyDescent="0.2">
      <c r="A153" s="670"/>
      <c r="B153" s="660"/>
      <c r="C153" s="660"/>
      <c r="D153" s="661"/>
      <c r="E153" s="664"/>
      <c r="F153" s="664"/>
      <c r="G153" s="664"/>
      <c r="H153" s="670"/>
      <c r="I153" s="660"/>
      <c r="J153" s="660"/>
      <c r="K153" s="661"/>
    </row>
    <row r="154" spans="1:14" ht="15" customHeight="1" x14ac:dyDescent="0.2">
      <c r="A154" s="633"/>
      <c r="B154" s="634"/>
      <c r="C154" s="634"/>
      <c r="D154" s="637"/>
      <c r="E154" s="27"/>
      <c r="F154" s="27"/>
      <c r="G154" s="29"/>
      <c r="H154" s="633"/>
      <c r="I154" s="634"/>
      <c r="J154" s="634"/>
      <c r="K154" s="637"/>
      <c r="L154" s="1">
        <f t="shared" ref="L154:L178" si="12">COUNTBLANK(E154:K154)</f>
        <v>7</v>
      </c>
      <c r="M154" s="1" t="str">
        <f>IF(AND(A154&lt;&gt;"",L154&gt;3),"No","Yes")</f>
        <v>Yes</v>
      </c>
      <c r="N154" s="1" t="str">
        <f t="shared" ref="N154:N178" si="13">CONCATENATE(E154,F154)</f>
        <v/>
      </c>
    </row>
    <row r="155" spans="1:14" ht="15" customHeight="1" x14ac:dyDescent="0.2">
      <c r="A155" s="633"/>
      <c r="B155" s="634"/>
      <c r="C155" s="634"/>
      <c r="D155" s="637"/>
      <c r="E155" s="27"/>
      <c r="F155" s="27"/>
      <c r="G155" s="29"/>
      <c r="H155" s="633"/>
      <c r="I155" s="634"/>
      <c r="J155" s="634"/>
      <c r="K155" s="637"/>
      <c r="L155" s="1">
        <f t="shared" si="12"/>
        <v>7</v>
      </c>
      <c r="M155" s="1" t="str">
        <f t="shared" ref="M155:M178" si="14">IF(AND(A155&lt;&gt;"",L155&gt;3),"No","Yes")</f>
        <v>Yes</v>
      </c>
      <c r="N155" s="1" t="str">
        <f t="shared" si="13"/>
        <v/>
      </c>
    </row>
    <row r="156" spans="1:14" ht="15" customHeight="1" x14ac:dyDescent="0.2">
      <c r="A156" s="633"/>
      <c r="B156" s="634"/>
      <c r="C156" s="634"/>
      <c r="D156" s="637"/>
      <c r="E156" s="27"/>
      <c r="F156" s="27"/>
      <c r="G156" s="29"/>
      <c r="H156" s="633"/>
      <c r="I156" s="634"/>
      <c r="J156" s="634"/>
      <c r="K156" s="637"/>
      <c r="L156" s="1">
        <f t="shared" si="12"/>
        <v>7</v>
      </c>
      <c r="M156" s="1" t="str">
        <f t="shared" si="14"/>
        <v>Yes</v>
      </c>
      <c r="N156" s="1" t="str">
        <f t="shared" si="13"/>
        <v/>
      </c>
    </row>
    <row r="157" spans="1:14" ht="15" customHeight="1" x14ac:dyDescent="0.2">
      <c r="A157" s="633"/>
      <c r="B157" s="634"/>
      <c r="C157" s="634"/>
      <c r="D157" s="637"/>
      <c r="E157" s="27"/>
      <c r="F157" s="27"/>
      <c r="G157" s="29"/>
      <c r="H157" s="633"/>
      <c r="I157" s="634"/>
      <c r="J157" s="634"/>
      <c r="K157" s="637"/>
      <c r="L157" s="1">
        <f t="shared" si="12"/>
        <v>7</v>
      </c>
      <c r="M157" s="1" t="str">
        <f t="shared" si="14"/>
        <v>Yes</v>
      </c>
      <c r="N157" s="1" t="str">
        <f t="shared" si="13"/>
        <v/>
      </c>
    </row>
    <row r="158" spans="1:14" ht="15" customHeight="1" x14ac:dyDescent="0.2">
      <c r="A158" s="633"/>
      <c r="B158" s="634"/>
      <c r="C158" s="634"/>
      <c r="D158" s="637"/>
      <c r="E158" s="27"/>
      <c r="F158" s="27"/>
      <c r="G158" s="29"/>
      <c r="H158" s="633"/>
      <c r="I158" s="634"/>
      <c r="J158" s="634"/>
      <c r="K158" s="637"/>
      <c r="L158" s="1">
        <f t="shared" si="12"/>
        <v>7</v>
      </c>
      <c r="M158" s="1" t="str">
        <f t="shared" si="14"/>
        <v>Yes</v>
      </c>
      <c r="N158" s="1" t="str">
        <f t="shared" si="13"/>
        <v/>
      </c>
    </row>
    <row r="159" spans="1:14" ht="15" customHeight="1" x14ac:dyDescent="0.2">
      <c r="A159" s="633"/>
      <c r="B159" s="634"/>
      <c r="C159" s="634"/>
      <c r="D159" s="637"/>
      <c r="E159" s="27"/>
      <c r="F159" s="27"/>
      <c r="G159" s="29"/>
      <c r="H159" s="633"/>
      <c r="I159" s="634"/>
      <c r="J159" s="634"/>
      <c r="K159" s="637"/>
      <c r="L159" s="1">
        <f t="shared" si="12"/>
        <v>7</v>
      </c>
      <c r="M159" s="1" t="str">
        <f t="shared" si="14"/>
        <v>Yes</v>
      </c>
      <c r="N159" s="1" t="str">
        <f t="shared" si="13"/>
        <v/>
      </c>
    </row>
    <row r="160" spans="1:14" ht="15" customHeight="1" x14ac:dyDescent="0.2">
      <c r="A160" s="633"/>
      <c r="B160" s="634"/>
      <c r="C160" s="634"/>
      <c r="D160" s="637"/>
      <c r="E160" s="27"/>
      <c r="F160" s="27"/>
      <c r="G160" s="29"/>
      <c r="H160" s="633"/>
      <c r="I160" s="634"/>
      <c r="J160" s="634"/>
      <c r="K160" s="637"/>
      <c r="L160" s="1">
        <f t="shared" si="12"/>
        <v>7</v>
      </c>
      <c r="M160" s="1" t="str">
        <f t="shared" si="14"/>
        <v>Yes</v>
      </c>
      <c r="N160" s="1" t="str">
        <f t="shared" si="13"/>
        <v/>
      </c>
    </row>
    <row r="161" spans="1:14" ht="15" customHeight="1" x14ac:dyDescent="0.2">
      <c r="A161" s="633"/>
      <c r="B161" s="634"/>
      <c r="C161" s="634"/>
      <c r="D161" s="637"/>
      <c r="E161" s="27"/>
      <c r="F161" s="27"/>
      <c r="G161" s="29"/>
      <c r="H161" s="633"/>
      <c r="I161" s="634"/>
      <c r="J161" s="634"/>
      <c r="K161" s="637"/>
      <c r="L161" s="1">
        <f t="shared" si="12"/>
        <v>7</v>
      </c>
      <c r="M161" s="1" t="str">
        <f t="shared" si="14"/>
        <v>Yes</v>
      </c>
      <c r="N161" s="1" t="str">
        <f t="shared" si="13"/>
        <v/>
      </c>
    </row>
    <row r="162" spans="1:14" ht="15" customHeight="1" x14ac:dyDescent="0.2">
      <c r="A162" s="633"/>
      <c r="B162" s="634"/>
      <c r="C162" s="634"/>
      <c r="D162" s="637"/>
      <c r="E162" s="27"/>
      <c r="F162" s="27"/>
      <c r="G162" s="29"/>
      <c r="H162" s="633"/>
      <c r="I162" s="634"/>
      <c r="J162" s="634"/>
      <c r="K162" s="637"/>
      <c r="L162" s="1">
        <f t="shared" si="12"/>
        <v>7</v>
      </c>
      <c r="M162" s="1" t="str">
        <f t="shared" si="14"/>
        <v>Yes</v>
      </c>
      <c r="N162" s="1" t="str">
        <f t="shared" si="13"/>
        <v/>
      </c>
    </row>
    <row r="163" spans="1:14" ht="15" customHeight="1" x14ac:dyDescent="0.2">
      <c r="A163" s="633"/>
      <c r="B163" s="634"/>
      <c r="C163" s="634"/>
      <c r="D163" s="637"/>
      <c r="E163" s="27"/>
      <c r="F163" s="27"/>
      <c r="G163" s="29"/>
      <c r="H163" s="633"/>
      <c r="I163" s="634"/>
      <c r="J163" s="634"/>
      <c r="K163" s="637"/>
      <c r="L163" s="1">
        <f t="shared" si="12"/>
        <v>7</v>
      </c>
      <c r="M163" s="1" t="str">
        <f t="shared" si="14"/>
        <v>Yes</v>
      </c>
      <c r="N163" s="1" t="str">
        <f t="shared" si="13"/>
        <v/>
      </c>
    </row>
    <row r="164" spans="1:14" ht="15" customHeight="1" x14ac:dyDescent="0.2">
      <c r="A164" s="633"/>
      <c r="B164" s="634"/>
      <c r="C164" s="634"/>
      <c r="D164" s="637"/>
      <c r="E164" s="27"/>
      <c r="F164" s="27"/>
      <c r="G164" s="29"/>
      <c r="H164" s="633"/>
      <c r="I164" s="634"/>
      <c r="J164" s="634"/>
      <c r="K164" s="637"/>
      <c r="L164" s="1">
        <f t="shared" si="12"/>
        <v>7</v>
      </c>
      <c r="M164" s="1" t="str">
        <f t="shared" si="14"/>
        <v>Yes</v>
      </c>
      <c r="N164" s="1" t="str">
        <f t="shared" si="13"/>
        <v/>
      </c>
    </row>
    <row r="165" spans="1:14" ht="15" customHeight="1" x14ac:dyDescent="0.2">
      <c r="A165" s="633"/>
      <c r="B165" s="634"/>
      <c r="C165" s="634"/>
      <c r="D165" s="637"/>
      <c r="E165" s="27"/>
      <c r="F165" s="27"/>
      <c r="G165" s="29"/>
      <c r="H165" s="633"/>
      <c r="I165" s="634"/>
      <c r="J165" s="634"/>
      <c r="K165" s="637"/>
      <c r="L165" s="1">
        <f t="shared" si="12"/>
        <v>7</v>
      </c>
      <c r="M165" s="1" t="str">
        <f t="shared" si="14"/>
        <v>Yes</v>
      </c>
      <c r="N165" s="1" t="str">
        <f t="shared" si="13"/>
        <v/>
      </c>
    </row>
    <row r="166" spans="1:14" ht="15" customHeight="1" x14ac:dyDescent="0.2">
      <c r="A166" s="633"/>
      <c r="B166" s="634"/>
      <c r="C166" s="634"/>
      <c r="D166" s="637"/>
      <c r="E166" s="27"/>
      <c r="F166" s="27"/>
      <c r="G166" s="29"/>
      <c r="H166" s="633"/>
      <c r="I166" s="634"/>
      <c r="J166" s="634"/>
      <c r="K166" s="637"/>
      <c r="L166" s="1">
        <f t="shared" si="12"/>
        <v>7</v>
      </c>
      <c r="M166" s="1" t="str">
        <f t="shared" si="14"/>
        <v>Yes</v>
      </c>
      <c r="N166" s="1" t="str">
        <f t="shared" si="13"/>
        <v/>
      </c>
    </row>
    <row r="167" spans="1:14" ht="15" customHeight="1" x14ac:dyDescent="0.2">
      <c r="A167" s="633"/>
      <c r="B167" s="634"/>
      <c r="C167" s="634"/>
      <c r="D167" s="637"/>
      <c r="E167" s="27"/>
      <c r="F167" s="27"/>
      <c r="G167" s="29"/>
      <c r="H167" s="633"/>
      <c r="I167" s="634"/>
      <c r="J167" s="634"/>
      <c r="K167" s="637"/>
      <c r="L167" s="1">
        <f t="shared" si="12"/>
        <v>7</v>
      </c>
      <c r="M167" s="1" t="str">
        <f t="shared" si="14"/>
        <v>Yes</v>
      </c>
      <c r="N167" s="1" t="str">
        <f t="shared" si="13"/>
        <v/>
      </c>
    </row>
    <row r="168" spans="1:14" ht="15" customHeight="1" x14ac:dyDescent="0.2">
      <c r="A168" s="633"/>
      <c r="B168" s="634"/>
      <c r="C168" s="634"/>
      <c r="D168" s="637"/>
      <c r="E168" s="27"/>
      <c r="F168" s="27"/>
      <c r="G168" s="29"/>
      <c r="H168" s="633"/>
      <c r="I168" s="634"/>
      <c r="J168" s="634"/>
      <c r="K168" s="637"/>
      <c r="L168" s="1">
        <f t="shared" si="12"/>
        <v>7</v>
      </c>
      <c r="M168" s="1" t="str">
        <f t="shared" si="14"/>
        <v>Yes</v>
      </c>
      <c r="N168" s="1" t="str">
        <f t="shared" si="13"/>
        <v/>
      </c>
    </row>
    <row r="169" spans="1:14" ht="15" customHeight="1" x14ac:dyDescent="0.2">
      <c r="A169" s="633"/>
      <c r="B169" s="634"/>
      <c r="C169" s="634"/>
      <c r="D169" s="637"/>
      <c r="E169" s="27"/>
      <c r="F169" s="27"/>
      <c r="G169" s="29"/>
      <c r="H169" s="633"/>
      <c r="I169" s="634"/>
      <c r="J169" s="634"/>
      <c r="K169" s="637"/>
      <c r="L169" s="1">
        <f t="shared" si="12"/>
        <v>7</v>
      </c>
      <c r="M169" s="1" t="str">
        <f t="shared" si="14"/>
        <v>Yes</v>
      </c>
      <c r="N169" s="1" t="str">
        <f t="shared" si="13"/>
        <v/>
      </c>
    </row>
    <row r="170" spans="1:14" ht="15" customHeight="1" x14ac:dyDescent="0.2">
      <c r="A170" s="633"/>
      <c r="B170" s="634"/>
      <c r="C170" s="634"/>
      <c r="D170" s="637"/>
      <c r="E170" s="27"/>
      <c r="F170" s="27"/>
      <c r="G170" s="29"/>
      <c r="H170" s="633"/>
      <c r="I170" s="634"/>
      <c r="J170" s="634"/>
      <c r="K170" s="637"/>
      <c r="L170" s="1">
        <f t="shared" si="12"/>
        <v>7</v>
      </c>
      <c r="M170" s="1" t="str">
        <f t="shared" si="14"/>
        <v>Yes</v>
      </c>
      <c r="N170" s="1" t="str">
        <f t="shared" si="13"/>
        <v/>
      </c>
    </row>
    <row r="171" spans="1:14" ht="15" customHeight="1" x14ac:dyDescent="0.2">
      <c r="A171" s="633"/>
      <c r="B171" s="634"/>
      <c r="C171" s="634"/>
      <c r="D171" s="637"/>
      <c r="E171" s="27"/>
      <c r="F171" s="27"/>
      <c r="G171" s="29"/>
      <c r="H171" s="633"/>
      <c r="I171" s="634"/>
      <c r="J171" s="634"/>
      <c r="K171" s="637"/>
      <c r="L171" s="1">
        <f t="shared" si="12"/>
        <v>7</v>
      </c>
      <c r="M171" s="1" t="str">
        <f t="shared" si="14"/>
        <v>Yes</v>
      </c>
      <c r="N171" s="1" t="str">
        <f t="shared" si="13"/>
        <v/>
      </c>
    </row>
    <row r="172" spans="1:14" ht="15" customHeight="1" x14ac:dyDescent="0.2">
      <c r="A172" s="633"/>
      <c r="B172" s="634"/>
      <c r="C172" s="634"/>
      <c r="D172" s="637"/>
      <c r="E172" s="27"/>
      <c r="F172" s="27"/>
      <c r="G172" s="29"/>
      <c r="H172" s="633"/>
      <c r="I172" s="634"/>
      <c r="J172" s="634"/>
      <c r="K172" s="637"/>
      <c r="L172" s="1">
        <f t="shared" si="12"/>
        <v>7</v>
      </c>
      <c r="M172" s="1" t="str">
        <f t="shared" si="14"/>
        <v>Yes</v>
      </c>
      <c r="N172" s="1" t="str">
        <f t="shared" si="13"/>
        <v/>
      </c>
    </row>
    <row r="173" spans="1:14" ht="15" customHeight="1" x14ac:dyDescent="0.2">
      <c r="A173" s="633"/>
      <c r="B173" s="634"/>
      <c r="C173" s="634"/>
      <c r="D173" s="637"/>
      <c r="E173" s="27"/>
      <c r="F173" s="27"/>
      <c r="G173" s="29"/>
      <c r="H173" s="633"/>
      <c r="I173" s="634"/>
      <c r="J173" s="634"/>
      <c r="K173" s="637"/>
      <c r="L173" s="1">
        <f t="shared" si="12"/>
        <v>7</v>
      </c>
      <c r="M173" s="1" t="str">
        <f t="shared" si="14"/>
        <v>Yes</v>
      </c>
      <c r="N173" s="1" t="str">
        <f t="shared" si="13"/>
        <v/>
      </c>
    </row>
    <row r="174" spans="1:14" ht="15" customHeight="1" x14ac:dyDescent="0.2">
      <c r="A174" s="633"/>
      <c r="B174" s="634"/>
      <c r="C174" s="634"/>
      <c r="D174" s="637"/>
      <c r="E174" s="27"/>
      <c r="F174" s="27"/>
      <c r="G174" s="29"/>
      <c r="H174" s="633"/>
      <c r="I174" s="634"/>
      <c r="J174" s="634"/>
      <c r="K174" s="637"/>
      <c r="L174" s="1">
        <f t="shared" si="12"/>
        <v>7</v>
      </c>
      <c r="M174" s="1" t="str">
        <f t="shared" si="14"/>
        <v>Yes</v>
      </c>
      <c r="N174" s="1" t="str">
        <f t="shared" si="13"/>
        <v/>
      </c>
    </row>
    <row r="175" spans="1:14" ht="15" customHeight="1" x14ac:dyDescent="0.2">
      <c r="A175" s="633"/>
      <c r="B175" s="634"/>
      <c r="C175" s="634"/>
      <c r="D175" s="637"/>
      <c r="E175" s="27"/>
      <c r="F175" s="27"/>
      <c r="G175" s="29"/>
      <c r="H175" s="633"/>
      <c r="I175" s="634"/>
      <c r="J175" s="634"/>
      <c r="K175" s="637"/>
      <c r="L175" s="1">
        <f t="shared" si="12"/>
        <v>7</v>
      </c>
      <c r="M175" s="1" t="str">
        <f t="shared" si="14"/>
        <v>Yes</v>
      </c>
      <c r="N175" s="1" t="str">
        <f t="shared" si="13"/>
        <v/>
      </c>
    </row>
    <row r="176" spans="1:14" ht="15" customHeight="1" x14ac:dyDescent="0.2">
      <c r="A176" s="633"/>
      <c r="B176" s="634"/>
      <c r="C176" s="634"/>
      <c r="D176" s="637"/>
      <c r="E176" s="27"/>
      <c r="F176" s="27"/>
      <c r="G176" s="29"/>
      <c r="H176" s="633"/>
      <c r="I176" s="634"/>
      <c r="J176" s="634"/>
      <c r="K176" s="637"/>
      <c r="L176" s="1">
        <f t="shared" si="12"/>
        <v>7</v>
      </c>
      <c r="M176" s="1" t="str">
        <f t="shared" si="14"/>
        <v>Yes</v>
      </c>
      <c r="N176" s="1" t="str">
        <f t="shared" si="13"/>
        <v/>
      </c>
    </row>
    <row r="177" spans="1:14" ht="15" customHeight="1" x14ac:dyDescent="0.2">
      <c r="A177" s="633"/>
      <c r="B177" s="634"/>
      <c r="C177" s="634"/>
      <c r="D177" s="637"/>
      <c r="E177" s="27"/>
      <c r="F177" s="27"/>
      <c r="G177" s="29"/>
      <c r="H177" s="633"/>
      <c r="I177" s="634"/>
      <c r="J177" s="634"/>
      <c r="K177" s="637"/>
      <c r="L177" s="1">
        <f t="shared" si="12"/>
        <v>7</v>
      </c>
      <c r="M177" s="1" t="str">
        <f t="shared" si="14"/>
        <v>Yes</v>
      </c>
      <c r="N177" s="1" t="str">
        <f t="shared" si="13"/>
        <v/>
      </c>
    </row>
    <row r="178" spans="1:14" ht="15" customHeight="1" x14ac:dyDescent="0.2">
      <c r="A178" s="633"/>
      <c r="B178" s="634"/>
      <c r="C178" s="634"/>
      <c r="D178" s="637"/>
      <c r="E178" s="27"/>
      <c r="F178" s="27"/>
      <c r="G178" s="29"/>
      <c r="H178" s="633"/>
      <c r="I178" s="634"/>
      <c r="J178" s="634"/>
      <c r="K178" s="637"/>
      <c r="L178" s="1">
        <f t="shared" si="12"/>
        <v>7</v>
      </c>
      <c r="M178" s="1" t="str">
        <f t="shared" si="14"/>
        <v>Yes</v>
      </c>
      <c r="N178" s="1" t="str">
        <f t="shared" si="13"/>
        <v/>
      </c>
    </row>
    <row r="179" spans="1:14" ht="15" customHeight="1" x14ac:dyDescent="0.2">
      <c r="A179" s="751" t="s">
        <v>99</v>
      </c>
      <c r="B179" s="645"/>
      <c r="C179" s="645"/>
      <c r="D179" s="645"/>
      <c r="E179" s="645"/>
      <c r="F179" s="646"/>
      <c r="G179" s="647">
        <f>SUM(G154:G178)</f>
        <v>0</v>
      </c>
      <c r="H179" s="648"/>
      <c r="I179" s="648"/>
      <c r="J179" s="648"/>
      <c r="K179" s="752"/>
      <c r="M179" s="1">
        <f>COUNTIF(M154:M178,"Yes")</f>
        <v>25</v>
      </c>
    </row>
    <row r="180" spans="1:14" ht="15" customHeight="1" x14ac:dyDescent="0.2">
      <c r="A180" s="747"/>
      <c r="B180" s="673"/>
      <c r="C180" s="673"/>
      <c r="D180" s="673"/>
      <c r="E180" s="673"/>
      <c r="F180" s="673"/>
      <c r="G180" s="673"/>
      <c r="H180" s="673"/>
      <c r="I180" s="673"/>
      <c r="J180" s="673"/>
      <c r="K180" s="748"/>
    </row>
    <row r="181" spans="1:14" ht="18" customHeight="1" x14ac:dyDescent="0.2">
      <c r="A181" s="749" t="s">
        <v>47</v>
      </c>
      <c r="B181" s="651"/>
      <c r="C181" s="651"/>
      <c r="D181" s="651"/>
      <c r="E181" s="651"/>
      <c r="F181" s="651"/>
      <c r="G181" s="651"/>
      <c r="H181" s="651"/>
      <c r="I181" s="651"/>
      <c r="J181" s="651"/>
      <c r="K181" s="750"/>
    </row>
    <row r="182" spans="1:14" ht="18" customHeight="1" x14ac:dyDescent="0.2">
      <c r="A182" s="749" t="s">
        <v>480</v>
      </c>
      <c r="B182" s="651"/>
      <c r="C182" s="651"/>
      <c r="D182" s="651"/>
      <c r="E182" s="651"/>
      <c r="F182" s="651"/>
      <c r="G182" s="651"/>
      <c r="H182" s="651"/>
      <c r="I182" s="651"/>
      <c r="J182" s="651"/>
      <c r="K182" s="750"/>
    </row>
    <row r="183" spans="1:14" ht="15" customHeight="1" x14ac:dyDescent="0.2">
      <c r="A183" s="666" t="s">
        <v>49</v>
      </c>
      <c r="B183" s="654"/>
      <c r="C183" s="654"/>
      <c r="D183" s="655"/>
      <c r="E183" s="662" t="s">
        <v>140</v>
      </c>
      <c r="F183" s="662" t="s">
        <v>139</v>
      </c>
      <c r="G183" s="665" t="s">
        <v>104</v>
      </c>
      <c r="H183" s="666" t="s">
        <v>53</v>
      </c>
      <c r="I183" s="654"/>
      <c r="J183" s="654"/>
      <c r="K183" s="655"/>
    </row>
    <row r="184" spans="1:14" ht="15" customHeight="1" x14ac:dyDescent="0.2">
      <c r="A184" s="668"/>
      <c r="B184" s="657"/>
      <c r="C184" s="657"/>
      <c r="D184" s="658"/>
      <c r="E184" s="663"/>
      <c r="F184" s="663"/>
      <c r="G184" s="663"/>
      <c r="H184" s="668"/>
      <c r="I184" s="657"/>
      <c r="J184" s="657"/>
      <c r="K184" s="658"/>
    </row>
    <row r="185" spans="1:14" ht="15" customHeight="1" x14ac:dyDescent="0.2">
      <c r="A185" s="668"/>
      <c r="B185" s="657"/>
      <c r="C185" s="657"/>
      <c r="D185" s="658"/>
      <c r="E185" s="663"/>
      <c r="F185" s="663"/>
      <c r="G185" s="663"/>
      <c r="H185" s="668"/>
      <c r="I185" s="657"/>
      <c r="J185" s="657"/>
      <c r="K185" s="658"/>
    </row>
    <row r="186" spans="1:14" ht="15" customHeight="1" x14ac:dyDescent="0.2">
      <c r="A186" s="668"/>
      <c r="B186" s="657"/>
      <c r="C186" s="657"/>
      <c r="D186" s="658"/>
      <c r="E186" s="663"/>
      <c r="F186" s="663"/>
      <c r="G186" s="663"/>
      <c r="H186" s="668"/>
      <c r="I186" s="657"/>
      <c r="J186" s="657"/>
      <c r="K186" s="658"/>
    </row>
    <row r="187" spans="1:14" ht="15" customHeight="1" x14ac:dyDescent="0.2">
      <c r="A187" s="668"/>
      <c r="B187" s="657"/>
      <c r="C187" s="657"/>
      <c r="D187" s="658"/>
      <c r="E187" s="663"/>
      <c r="F187" s="663"/>
      <c r="G187" s="663"/>
      <c r="H187" s="668"/>
      <c r="I187" s="657"/>
      <c r="J187" s="657"/>
      <c r="K187" s="658"/>
    </row>
    <row r="188" spans="1:14" ht="14.25" customHeight="1" x14ac:dyDescent="0.2">
      <c r="A188" s="670"/>
      <c r="B188" s="660"/>
      <c r="C188" s="660"/>
      <c r="D188" s="661"/>
      <c r="E188" s="664"/>
      <c r="F188" s="664"/>
      <c r="G188" s="664"/>
      <c r="H188" s="670"/>
      <c r="I188" s="660"/>
      <c r="J188" s="660"/>
      <c r="K188" s="661"/>
    </row>
    <row r="189" spans="1:14" ht="15" customHeight="1" x14ac:dyDescent="0.2">
      <c r="A189" s="633"/>
      <c r="B189" s="634"/>
      <c r="C189" s="634"/>
      <c r="D189" s="637"/>
      <c r="E189" s="27"/>
      <c r="F189" s="27"/>
      <c r="G189" s="29"/>
      <c r="H189" s="633"/>
      <c r="I189" s="634"/>
      <c r="J189" s="634"/>
      <c r="K189" s="637"/>
      <c r="L189" s="1">
        <f t="shared" ref="L189:L213" si="15">COUNTBLANK(E189:K189)</f>
        <v>7</v>
      </c>
      <c r="M189" s="1" t="str">
        <f>IF(AND(A189&lt;&gt;"",L189&gt;3),"No","Yes")</f>
        <v>Yes</v>
      </c>
      <c r="N189" s="1" t="str">
        <f t="shared" ref="N189:N213" si="16">CONCATENATE(E189,F189)</f>
        <v/>
      </c>
    </row>
    <row r="190" spans="1:14" ht="15" customHeight="1" x14ac:dyDescent="0.2">
      <c r="A190" s="633"/>
      <c r="B190" s="634"/>
      <c r="C190" s="634"/>
      <c r="D190" s="637"/>
      <c r="E190" s="27"/>
      <c r="F190" s="27"/>
      <c r="G190" s="29"/>
      <c r="H190" s="633"/>
      <c r="I190" s="634"/>
      <c r="J190" s="634"/>
      <c r="K190" s="637"/>
      <c r="L190" s="1">
        <f t="shared" si="15"/>
        <v>7</v>
      </c>
      <c r="M190" s="1" t="str">
        <f t="shared" ref="M190:M213" si="17">IF(AND(A190&lt;&gt;"",L190&gt;3),"No","Yes")</f>
        <v>Yes</v>
      </c>
      <c r="N190" s="1" t="str">
        <f t="shared" si="16"/>
        <v/>
      </c>
    </row>
    <row r="191" spans="1:14" ht="15" customHeight="1" x14ac:dyDescent="0.2">
      <c r="A191" s="633"/>
      <c r="B191" s="634"/>
      <c r="C191" s="634"/>
      <c r="D191" s="637"/>
      <c r="E191" s="27"/>
      <c r="F191" s="27"/>
      <c r="G191" s="29"/>
      <c r="H191" s="633"/>
      <c r="I191" s="634"/>
      <c r="J191" s="634"/>
      <c r="K191" s="637"/>
      <c r="L191" s="1">
        <f t="shared" si="15"/>
        <v>7</v>
      </c>
      <c r="M191" s="1" t="str">
        <f t="shared" si="17"/>
        <v>Yes</v>
      </c>
      <c r="N191" s="1" t="str">
        <f t="shared" si="16"/>
        <v/>
      </c>
    </row>
    <row r="192" spans="1:14" ht="15" customHeight="1" x14ac:dyDescent="0.2">
      <c r="A192" s="633"/>
      <c r="B192" s="634"/>
      <c r="C192" s="634"/>
      <c r="D192" s="637"/>
      <c r="E192" s="27"/>
      <c r="F192" s="27"/>
      <c r="G192" s="29"/>
      <c r="H192" s="633"/>
      <c r="I192" s="634"/>
      <c r="J192" s="634"/>
      <c r="K192" s="637"/>
      <c r="L192" s="1">
        <f t="shared" si="15"/>
        <v>7</v>
      </c>
      <c r="M192" s="1" t="str">
        <f t="shared" si="17"/>
        <v>Yes</v>
      </c>
      <c r="N192" s="1" t="str">
        <f t="shared" si="16"/>
        <v/>
      </c>
    </row>
    <row r="193" spans="1:14" ht="15" customHeight="1" x14ac:dyDescent="0.2">
      <c r="A193" s="633"/>
      <c r="B193" s="634"/>
      <c r="C193" s="634"/>
      <c r="D193" s="637"/>
      <c r="E193" s="27"/>
      <c r="F193" s="27"/>
      <c r="G193" s="29"/>
      <c r="H193" s="633"/>
      <c r="I193" s="634"/>
      <c r="J193" s="634"/>
      <c r="K193" s="637"/>
      <c r="L193" s="1">
        <f t="shared" si="15"/>
        <v>7</v>
      </c>
      <c r="M193" s="1" t="str">
        <f t="shared" si="17"/>
        <v>Yes</v>
      </c>
      <c r="N193" s="1" t="str">
        <f t="shared" si="16"/>
        <v/>
      </c>
    </row>
    <row r="194" spans="1:14" ht="15" customHeight="1" x14ac:dyDescent="0.2">
      <c r="A194" s="633"/>
      <c r="B194" s="634"/>
      <c r="C194" s="634"/>
      <c r="D194" s="637"/>
      <c r="E194" s="27"/>
      <c r="F194" s="27"/>
      <c r="G194" s="29"/>
      <c r="H194" s="633"/>
      <c r="I194" s="634"/>
      <c r="J194" s="634"/>
      <c r="K194" s="637"/>
      <c r="L194" s="1">
        <f t="shared" si="15"/>
        <v>7</v>
      </c>
      <c r="M194" s="1" t="str">
        <f t="shared" si="17"/>
        <v>Yes</v>
      </c>
      <c r="N194" s="1" t="str">
        <f t="shared" si="16"/>
        <v/>
      </c>
    </row>
    <row r="195" spans="1:14" ht="15" customHeight="1" x14ac:dyDescent="0.2">
      <c r="A195" s="633"/>
      <c r="B195" s="634"/>
      <c r="C195" s="634"/>
      <c r="D195" s="637"/>
      <c r="E195" s="27"/>
      <c r="F195" s="27"/>
      <c r="G195" s="29"/>
      <c r="H195" s="633"/>
      <c r="I195" s="634"/>
      <c r="J195" s="634"/>
      <c r="K195" s="637"/>
      <c r="L195" s="1">
        <f t="shared" si="15"/>
        <v>7</v>
      </c>
      <c r="M195" s="1" t="str">
        <f t="shared" si="17"/>
        <v>Yes</v>
      </c>
      <c r="N195" s="1" t="str">
        <f t="shared" si="16"/>
        <v/>
      </c>
    </row>
    <row r="196" spans="1:14" ht="15" customHeight="1" x14ac:dyDescent="0.2">
      <c r="A196" s="633"/>
      <c r="B196" s="634"/>
      <c r="C196" s="634"/>
      <c r="D196" s="637"/>
      <c r="E196" s="27"/>
      <c r="F196" s="27"/>
      <c r="G196" s="29"/>
      <c r="H196" s="633"/>
      <c r="I196" s="634"/>
      <c r="J196" s="634"/>
      <c r="K196" s="637"/>
      <c r="L196" s="1">
        <f t="shared" si="15"/>
        <v>7</v>
      </c>
      <c r="M196" s="1" t="str">
        <f t="shared" si="17"/>
        <v>Yes</v>
      </c>
      <c r="N196" s="1" t="str">
        <f t="shared" si="16"/>
        <v/>
      </c>
    </row>
    <row r="197" spans="1:14" ht="15" customHeight="1" x14ac:dyDescent="0.2">
      <c r="A197" s="633"/>
      <c r="B197" s="634"/>
      <c r="C197" s="634"/>
      <c r="D197" s="637"/>
      <c r="E197" s="27"/>
      <c r="F197" s="27"/>
      <c r="G197" s="29"/>
      <c r="H197" s="633"/>
      <c r="I197" s="634"/>
      <c r="J197" s="634"/>
      <c r="K197" s="637"/>
      <c r="L197" s="1">
        <f t="shared" si="15"/>
        <v>7</v>
      </c>
      <c r="M197" s="1" t="str">
        <f t="shared" si="17"/>
        <v>Yes</v>
      </c>
      <c r="N197" s="1" t="str">
        <f t="shared" si="16"/>
        <v/>
      </c>
    </row>
    <row r="198" spans="1:14" ht="15" customHeight="1" x14ac:dyDescent="0.2">
      <c r="A198" s="633"/>
      <c r="B198" s="634"/>
      <c r="C198" s="634"/>
      <c r="D198" s="637"/>
      <c r="E198" s="27"/>
      <c r="F198" s="27"/>
      <c r="G198" s="29"/>
      <c r="H198" s="633"/>
      <c r="I198" s="634"/>
      <c r="J198" s="634"/>
      <c r="K198" s="637"/>
      <c r="L198" s="1">
        <f t="shared" si="15"/>
        <v>7</v>
      </c>
      <c r="M198" s="1" t="str">
        <f t="shared" si="17"/>
        <v>Yes</v>
      </c>
      <c r="N198" s="1" t="str">
        <f t="shared" si="16"/>
        <v/>
      </c>
    </row>
    <row r="199" spans="1:14" ht="15" customHeight="1" x14ac:dyDescent="0.2">
      <c r="A199" s="633"/>
      <c r="B199" s="634"/>
      <c r="C199" s="634"/>
      <c r="D199" s="637"/>
      <c r="E199" s="27"/>
      <c r="F199" s="27"/>
      <c r="G199" s="29"/>
      <c r="H199" s="633"/>
      <c r="I199" s="634"/>
      <c r="J199" s="634"/>
      <c r="K199" s="637"/>
      <c r="L199" s="1">
        <f t="shared" si="15"/>
        <v>7</v>
      </c>
      <c r="M199" s="1" t="str">
        <f t="shared" si="17"/>
        <v>Yes</v>
      </c>
      <c r="N199" s="1" t="str">
        <f t="shared" si="16"/>
        <v/>
      </c>
    </row>
    <row r="200" spans="1:14" ht="15" customHeight="1" x14ac:dyDescent="0.2">
      <c r="A200" s="633"/>
      <c r="B200" s="634"/>
      <c r="C200" s="634"/>
      <c r="D200" s="637"/>
      <c r="E200" s="27"/>
      <c r="F200" s="27"/>
      <c r="G200" s="29"/>
      <c r="H200" s="633"/>
      <c r="I200" s="634"/>
      <c r="J200" s="634"/>
      <c r="K200" s="637"/>
      <c r="L200" s="1">
        <f t="shared" si="15"/>
        <v>7</v>
      </c>
      <c r="M200" s="1" t="str">
        <f t="shared" si="17"/>
        <v>Yes</v>
      </c>
      <c r="N200" s="1" t="str">
        <f t="shared" si="16"/>
        <v/>
      </c>
    </row>
    <row r="201" spans="1:14" ht="15" customHeight="1" x14ac:dyDescent="0.2">
      <c r="A201" s="633"/>
      <c r="B201" s="634"/>
      <c r="C201" s="634"/>
      <c r="D201" s="637"/>
      <c r="E201" s="27"/>
      <c r="F201" s="27"/>
      <c r="G201" s="29"/>
      <c r="H201" s="633"/>
      <c r="I201" s="634"/>
      <c r="J201" s="634"/>
      <c r="K201" s="637"/>
      <c r="L201" s="1">
        <f t="shared" si="15"/>
        <v>7</v>
      </c>
      <c r="M201" s="1" t="str">
        <f t="shared" si="17"/>
        <v>Yes</v>
      </c>
      <c r="N201" s="1" t="str">
        <f t="shared" si="16"/>
        <v/>
      </c>
    </row>
    <row r="202" spans="1:14" ht="15" customHeight="1" x14ac:dyDescent="0.2">
      <c r="A202" s="633"/>
      <c r="B202" s="634"/>
      <c r="C202" s="634"/>
      <c r="D202" s="637"/>
      <c r="E202" s="27"/>
      <c r="F202" s="27"/>
      <c r="G202" s="29"/>
      <c r="H202" s="633"/>
      <c r="I202" s="634"/>
      <c r="J202" s="634"/>
      <c r="K202" s="637"/>
      <c r="L202" s="1">
        <f t="shared" si="15"/>
        <v>7</v>
      </c>
      <c r="M202" s="1" t="str">
        <f t="shared" si="17"/>
        <v>Yes</v>
      </c>
      <c r="N202" s="1" t="str">
        <f t="shared" si="16"/>
        <v/>
      </c>
    </row>
    <row r="203" spans="1:14" ht="15" customHeight="1" x14ac:dyDescent="0.2">
      <c r="A203" s="633"/>
      <c r="B203" s="634"/>
      <c r="C203" s="634"/>
      <c r="D203" s="637"/>
      <c r="E203" s="27"/>
      <c r="F203" s="27"/>
      <c r="G203" s="29"/>
      <c r="H203" s="633"/>
      <c r="I203" s="634"/>
      <c r="J203" s="634"/>
      <c r="K203" s="637"/>
      <c r="L203" s="1">
        <f t="shared" si="15"/>
        <v>7</v>
      </c>
      <c r="M203" s="1" t="str">
        <f t="shared" si="17"/>
        <v>Yes</v>
      </c>
      <c r="N203" s="1" t="str">
        <f t="shared" si="16"/>
        <v/>
      </c>
    </row>
    <row r="204" spans="1:14" ht="15" customHeight="1" x14ac:dyDescent="0.2">
      <c r="A204" s="633"/>
      <c r="B204" s="634"/>
      <c r="C204" s="634"/>
      <c r="D204" s="637"/>
      <c r="E204" s="27"/>
      <c r="F204" s="27"/>
      <c r="G204" s="29"/>
      <c r="H204" s="633"/>
      <c r="I204" s="634"/>
      <c r="J204" s="634"/>
      <c r="K204" s="637"/>
      <c r="L204" s="1">
        <f t="shared" si="15"/>
        <v>7</v>
      </c>
      <c r="M204" s="1" t="str">
        <f t="shared" si="17"/>
        <v>Yes</v>
      </c>
      <c r="N204" s="1" t="str">
        <f t="shared" si="16"/>
        <v/>
      </c>
    </row>
    <row r="205" spans="1:14" ht="15" customHeight="1" x14ac:dyDescent="0.2">
      <c r="A205" s="633"/>
      <c r="B205" s="634"/>
      <c r="C205" s="634"/>
      <c r="D205" s="637"/>
      <c r="E205" s="27"/>
      <c r="F205" s="27"/>
      <c r="G205" s="29"/>
      <c r="H205" s="633"/>
      <c r="I205" s="634"/>
      <c r="J205" s="634"/>
      <c r="K205" s="637"/>
      <c r="L205" s="1">
        <f t="shared" si="15"/>
        <v>7</v>
      </c>
      <c r="M205" s="1" t="str">
        <f t="shared" si="17"/>
        <v>Yes</v>
      </c>
      <c r="N205" s="1" t="str">
        <f t="shared" si="16"/>
        <v/>
      </c>
    </row>
    <row r="206" spans="1:14" ht="15" customHeight="1" x14ac:dyDescent="0.2">
      <c r="A206" s="633"/>
      <c r="B206" s="634"/>
      <c r="C206" s="634"/>
      <c r="D206" s="637"/>
      <c r="E206" s="27"/>
      <c r="F206" s="27"/>
      <c r="G206" s="29"/>
      <c r="H206" s="633"/>
      <c r="I206" s="634"/>
      <c r="J206" s="634"/>
      <c r="K206" s="637"/>
      <c r="L206" s="1">
        <f t="shared" si="15"/>
        <v>7</v>
      </c>
      <c r="M206" s="1" t="str">
        <f t="shared" si="17"/>
        <v>Yes</v>
      </c>
      <c r="N206" s="1" t="str">
        <f t="shared" si="16"/>
        <v/>
      </c>
    </row>
    <row r="207" spans="1:14" ht="15" customHeight="1" x14ac:dyDescent="0.2">
      <c r="A207" s="633"/>
      <c r="B207" s="634"/>
      <c r="C207" s="634"/>
      <c r="D207" s="637"/>
      <c r="E207" s="27"/>
      <c r="F207" s="27"/>
      <c r="G207" s="29"/>
      <c r="H207" s="633"/>
      <c r="I207" s="634"/>
      <c r="J207" s="634"/>
      <c r="K207" s="637"/>
      <c r="L207" s="1">
        <f t="shared" si="15"/>
        <v>7</v>
      </c>
      <c r="M207" s="1" t="str">
        <f t="shared" si="17"/>
        <v>Yes</v>
      </c>
      <c r="N207" s="1" t="str">
        <f t="shared" si="16"/>
        <v/>
      </c>
    </row>
    <row r="208" spans="1:14" ht="15" customHeight="1" x14ac:dyDescent="0.2">
      <c r="A208" s="633"/>
      <c r="B208" s="634"/>
      <c r="C208" s="634"/>
      <c r="D208" s="637"/>
      <c r="E208" s="27"/>
      <c r="F208" s="27"/>
      <c r="G208" s="29"/>
      <c r="H208" s="633"/>
      <c r="I208" s="634"/>
      <c r="J208" s="634"/>
      <c r="K208" s="637"/>
      <c r="L208" s="1">
        <f t="shared" si="15"/>
        <v>7</v>
      </c>
      <c r="M208" s="1" t="str">
        <f t="shared" si="17"/>
        <v>Yes</v>
      </c>
      <c r="N208" s="1" t="str">
        <f t="shared" si="16"/>
        <v/>
      </c>
    </row>
    <row r="209" spans="1:14" ht="15" customHeight="1" x14ac:dyDescent="0.2">
      <c r="A209" s="633"/>
      <c r="B209" s="634"/>
      <c r="C209" s="634"/>
      <c r="D209" s="637"/>
      <c r="E209" s="27"/>
      <c r="F209" s="27"/>
      <c r="G209" s="29"/>
      <c r="H209" s="633"/>
      <c r="I209" s="634"/>
      <c r="J209" s="634"/>
      <c r="K209" s="637"/>
      <c r="L209" s="1">
        <f t="shared" si="15"/>
        <v>7</v>
      </c>
      <c r="M209" s="1" t="str">
        <f t="shared" si="17"/>
        <v>Yes</v>
      </c>
      <c r="N209" s="1" t="str">
        <f t="shared" si="16"/>
        <v/>
      </c>
    </row>
    <row r="210" spans="1:14" ht="15" customHeight="1" x14ac:dyDescent="0.2">
      <c r="A210" s="633"/>
      <c r="B210" s="634"/>
      <c r="C210" s="634"/>
      <c r="D210" s="637"/>
      <c r="E210" s="27"/>
      <c r="F210" s="27"/>
      <c r="G210" s="29"/>
      <c r="H210" s="633"/>
      <c r="I210" s="634"/>
      <c r="J210" s="634"/>
      <c r="K210" s="637"/>
      <c r="L210" s="1">
        <f t="shared" si="15"/>
        <v>7</v>
      </c>
      <c r="M210" s="1" t="str">
        <f t="shared" si="17"/>
        <v>Yes</v>
      </c>
      <c r="N210" s="1" t="str">
        <f t="shared" si="16"/>
        <v/>
      </c>
    </row>
    <row r="211" spans="1:14" ht="15" customHeight="1" x14ac:dyDescent="0.2">
      <c r="A211" s="633"/>
      <c r="B211" s="634"/>
      <c r="C211" s="634"/>
      <c r="D211" s="637"/>
      <c r="E211" s="27"/>
      <c r="F211" s="27"/>
      <c r="G211" s="29"/>
      <c r="H211" s="633"/>
      <c r="I211" s="634"/>
      <c r="J211" s="634"/>
      <c r="K211" s="637"/>
      <c r="L211" s="1">
        <f t="shared" si="15"/>
        <v>7</v>
      </c>
      <c r="M211" s="1" t="str">
        <f t="shared" si="17"/>
        <v>Yes</v>
      </c>
      <c r="N211" s="1" t="str">
        <f t="shared" si="16"/>
        <v/>
      </c>
    </row>
    <row r="212" spans="1:14" ht="15" customHeight="1" x14ac:dyDescent="0.2">
      <c r="A212" s="633"/>
      <c r="B212" s="634"/>
      <c r="C212" s="634"/>
      <c r="D212" s="637"/>
      <c r="E212" s="27"/>
      <c r="F212" s="27"/>
      <c r="G212" s="29"/>
      <c r="H212" s="633"/>
      <c r="I212" s="634"/>
      <c r="J212" s="634"/>
      <c r="K212" s="637"/>
      <c r="L212" s="1">
        <f t="shared" si="15"/>
        <v>7</v>
      </c>
      <c r="M212" s="1" t="str">
        <f t="shared" si="17"/>
        <v>Yes</v>
      </c>
      <c r="N212" s="1" t="str">
        <f t="shared" si="16"/>
        <v/>
      </c>
    </row>
    <row r="213" spans="1:14" ht="15" customHeight="1" x14ac:dyDescent="0.2">
      <c r="A213" s="633"/>
      <c r="B213" s="634"/>
      <c r="C213" s="634"/>
      <c r="D213" s="637"/>
      <c r="E213" s="27"/>
      <c r="F213" s="27"/>
      <c r="G213" s="29"/>
      <c r="H213" s="633"/>
      <c r="I213" s="634"/>
      <c r="J213" s="634"/>
      <c r="K213" s="637"/>
      <c r="L213" s="1">
        <f t="shared" si="15"/>
        <v>7</v>
      </c>
      <c r="M213" s="1" t="str">
        <f t="shared" si="17"/>
        <v>Yes</v>
      </c>
      <c r="N213" s="1" t="str">
        <f t="shared" si="16"/>
        <v/>
      </c>
    </row>
    <row r="214" spans="1:14" ht="15" customHeight="1" x14ac:dyDescent="0.2">
      <c r="A214" s="751" t="s">
        <v>100</v>
      </c>
      <c r="B214" s="645"/>
      <c r="C214" s="645"/>
      <c r="D214" s="645"/>
      <c r="E214" s="645"/>
      <c r="F214" s="646"/>
      <c r="G214" s="647">
        <f>SUM(G189:G213)</f>
        <v>0</v>
      </c>
      <c r="H214" s="648"/>
      <c r="I214" s="648"/>
      <c r="J214" s="648"/>
      <c r="K214" s="752"/>
      <c r="M214" s="1">
        <f>COUNTIF(M189:M213,"Yes")</f>
        <v>25</v>
      </c>
    </row>
  </sheetData>
  <sheetProtection password="E686" sheet="1" objects="1" scenarios="1" formatRows="0"/>
  <mergeCells count="362">
    <mergeCell ref="A14:B14"/>
    <mergeCell ref="H14:K14"/>
    <mergeCell ref="A15:B15"/>
    <mergeCell ref="H15:K15"/>
    <mergeCell ref="A16:B16"/>
    <mergeCell ref="H16:K16"/>
    <mergeCell ref="A1:K2"/>
    <mergeCell ref="A3:K4"/>
    <mergeCell ref="A5:K6"/>
    <mergeCell ref="A7:B13"/>
    <mergeCell ref="C7:C13"/>
    <mergeCell ref="D7:D13"/>
    <mergeCell ref="E7:E13"/>
    <mergeCell ref="F7:F13"/>
    <mergeCell ref="G7:G13"/>
    <mergeCell ref="H7:K13"/>
    <mergeCell ref="A20:B20"/>
    <mergeCell ref="H20:K20"/>
    <mergeCell ref="A21:B21"/>
    <mergeCell ref="H21:K21"/>
    <mergeCell ref="A22:B22"/>
    <mergeCell ref="H22:K22"/>
    <mergeCell ref="A17:B17"/>
    <mergeCell ref="H17:K17"/>
    <mergeCell ref="A18:B18"/>
    <mergeCell ref="H18:K18"/>
    <mergeCell ref="A19:B19"/>
    <mergeCell ref="H19:K19"/>
    <mergeCell ref="A26:B26"/>
    <mergeCell ref="H26:K26"/>
    <mergeCell ref="A27:B27"/>
    <mergeCell ref="H27:K27"/>
    <mergeCell ref="A28:B28"/>
    <mergeCell ref="H28:K28"/>
    <mergeCell ref="A23:B23"/>
    <mergeCell ref="H23:K23"/>
    <mergeCell ref="A24:B24"/>
    <mergeCell ref="H24:K24"/>
    <mergeCell ref="A25:B25"/>
    <mergeCell ref="H25:K25"/>
    <mergeCell ref="A32:B32"/>
    <mergeCell ref="H32:K32"/>
    <mergeCell ref="A33:B33"/>
    <mergeCell ref="H33:K33"/>
    <mergeCell ref="A34:B34"/>
    <mergeCell ref="H34:K34"/>
    <mergeCell ref="A29:B29"/>
    <mergeCell ref="H29:K29"/>
    <mergeCell ref="A30:B30"/>
    <mergeCell ref="H30:K30"/>
    <mergeCell ref="A31:B31"/>
    <mergeCell ref="H31:K31"/>
    <mergeCell ref="A38:B38"/>
    <mergeCell ref="H38:K38"/>
    <mergeCell ref="A39:D39"/>
    <mergeCell ref="G39:J39"/>
    <mergeCell ref="A40:K40"/>
    <mergeCell ref="A41:K41"/>
    <mergeCell ref="A35:B35"/>
    <mergeCell ref="H35:K35"/>
    <mergeCell ref="A36:B36"/>
    <mergeCell ref="H36:K36"/>
    <mergeCell ref="A37:B37"/>
    <mergeCell ref="H37:K37"/>
    <mergeCell ref="A49:D49"/>
    <mergeCell ref="H49:K49"/>
    <mergeCell ref="A50:D50"/>
    <mergeCell ref="H50:K50"/>
    <mergeCell ref="A51:D51"/>
    <mergeCell ref="H51:K51"/>
    <mergeCell ref="A42:K42"/>
    <mergeCell ref="A43:D48"/>
    <mergeCell ref="E43:E48"/>
    <mergeCell ref="F43:F48"/>
    <mergeCell ref="G43:G48"/>
    <mergeCell ref="H43:K48"/>
    <mergeCell ref="A55:D55"/>
    <mergeCell ref="H55:K55"/>
    <mergeCell ref="A56:D56"/>
    <mergeCell ref="H56:K56"/>
    <mergeCell ref="A57:D57"/>
    <mergeCell ref="H57:K57"/>
    <mergeCell ref="A52:D52"/>
    <mergeCell ref="H52:K52"/>
    <mergeCell ref="A53:D53"/>
    <mergeCell ref="H53:K53"/>
    <mergeCell ref="A54:D54"/>
    <mergeCell ref="H54:K54"/>
    <mergeCell ref="A61:D61"/>
    <mergeCell ref="H61:K61"/>
    <mergeCell ref="A62:D62"/>
    <mergeCell ref="H62:K62"/>
    <mergeCell ref="A63:D63"/>
    <mergeCell ref="H63:K63"/>
    <mergeCell ref="A58:D58"/>
    <mergeCell ref="H58:K58"/>
    <mergeCell ref="A59:D59"/>
    <mergeCell ref="H59:K59"/>
    <mergeCell ref="A60:D60"/>
    <mergeCell ref="H60:K60"/>
    <mergeCell ref="A67:D67"/>
    <mergeCell ref="H67:K67"/>
    <mergeCell ref="A68:D68"/>
    <mergeCell ref="H68:K68"/>
    <mergeCell ref="A69:D69"/>
    <mergeCell ref="H69:K69"/>
    <mergeCell ref="A64:D64"/>
    <mergeCell ref="H64:K64"/>
    <mergeCell ref="A65:D65"/>
    <mergeCell ref="H65:K65"/>
    <mergeCell ref="A66:D66"/>
    <mergeCell ref="H66:K66"/>
    <mergeCell ref="A73:D73"/>
    <mergeCell ref="H73:K73"/>
    <mergeCell ref="A74:F74"/>
    <mergeCell ref="G74:K74"/>
    <mergeCell ref="A75:K75"/>
    <mergeCell ref="A76:K76"/>
    <mergeCell ref="A70:D70"/>
    <mergeCell ref="H70:K70"/>
    <mergeCell ref="A71:D71"/>
    <mergeCell ref="H71:K71"/>
    <mergeCell ref="A72:D72"/>
    <mergeCell ref="H72:K72"/>
    <mergeCell ref="A84:D84"/>
    <mergeCell ref="H84:K84"/>
    <mergeCell ref="A85:D85"/>
    <mergeCell ref="H85:K85"/>
    <mergeCell ref="A86:D86"/>
    <mergeCell ref="H86:K86"/>
    <mergeCell ref="A77:K77"/>
    <mergeCell ref="A78:D83"/>
    <mergeCell ref="E78:E83"/>
    <mergeCell ref="F78:F83"/>
    <mergeCell ref="G78:G83"/>
    <mergeCell ref="H78:K83"/>
    <mergeCell ref="A90:D90"/>
    <mergeCell ref="H90:K90"/>
    <mergeCell ref="A91:D91"/>
    <mergeCell ref="H91:K91"/>
    <mergeCell ref="A92:D92"/>
    <mergeCell ref="H92:K92"/>
    <mergeCell ref="A87:D87"/>
    <mergeCell ref="H87:K87"/>
    <mergeCell ref="A88:D88"/>
    <mergeCell ref="H88:K88"/>
    <mergeCell ref="A89:D89"/>
    <mergeCell ref="H89:K89"/>
    <mergeCell ref="A96:D96"/>
    <mergeCell ref="H96:K96"/>
    <mergeCell ref="A97:D97"/>
    <mergeCell ref="H97:K97"/>
    <mergeCell ref="A98:D98"/>
    <mergeCell ref="H98:K98"/>
    <mergeCell ref="A93:D93"/>
    <mergeCell ref="H93:K93"/>
    <mergeCell ref="A94:D94"/>
    <mergeCell ref="H94:K94"/>
    <mergeCell ref="A95:D95"/>
    <mergeCell ref="H95:K95"/>
    <mergeCell ref="A102:D102"/>
    <mergeCell ref="H102:K102"/>
    <mergeCell ref="A103:D103"/>
    <mergeCell ref="H103:K103"/>
    <mergeCell ref="A104:D104"/>
    <mergeCell ref="H104:K104"/>
    <mergeCell ref="A99:D99"/>
    <mergeCell ref="H99:K99"/>
    <mergeCell ref="A100:D100"/>
    <mergeCell ref="H100:K100"/>
    <mergeCell ref="A101:D101"/>
    <mergeCell ref="H101:K101"/>
    <mergeCell ref="A108:D108"/>
    <mergeCell ref="H108:K108"/>
    <mergeCell ref="A109:F109"/>
    <mergeCell ref="G109:K109"/>
    <mergeCell ref="A110:K110"/>
    <mergeCell ref="A111:K111"/>
    <mergeCell ref="A105:D105"/>
    <mergeCell ref="H105:K105"/>
    <mergeCell ref="A106:D106"/>
    <mergeCell ref="H106:K106"/>
    <mergeCell ref="A107:D107"/>
    <mergeCell ref="H107:K107"/>
    <mergeCell ref="A119:D119"/>
    <mergeCell ref="H119:K119"/>
    <mergeCell ref="A120:D120"/>
    <mergeCell ref="H120:K120"/>
    <mergeCell ref="A121:D121"/>
    <mergeCell ref="H121:K121"/>
    <mergeCell ref="A112:K112"/>
    <mergeCell ref="A113:D118"/>
    <mergeCell ref="E113:E118"/>
    <mergeCell ref="F113:F118"/>
    <mergeCell ref="G113:G118"/>
    <mergeCell ref="H113:K118"/>
    <mergeCell ref="A125:D125"/>
    <mergeCell ref="H125:K125"/>
    <mergeCell ref="A126:D126"/>
    <mergeCell ref="H126:K126"/>
    <mergeCell ref="A127:D127"/>
    <mergeCell ref="H127:K127"/>
    <mergeCell ref="A122:D122"/>
    <mergeCell ref="H122:K122"/>
    <mergeCell ref="A123:D123"/>
    <mergeCell ref="H123:K123"/>
    <mergeCell ref="A124:D124"/>
    <mergeCell ref="H124:K124"/>
    <mergeCell ref="A131:D131"/>
    <mergeCell ref="H131:K131"/>
    <mergeCell ref="A132:D132"/>
    <mergeCell ref="H132:K132"/>
    <mergeCell ref="A133:D133"/>
    <mergeCell ref="H133:K133"/>
    <mergeCell ref="A128:D128"/>
    <mergeCell ref="H128:K128"/>
    <mergeCell ref="A129:D129"/>
    <mergeCell ref="H129:K129"/>
    <mergeCell ref="A130:D130"/>
    <mergeCell ref="H130:K130"/>
    <mergeCell ref="A137:D137"/>
    <mergeCell ref="H137:K137"/>
    <mergeCell ref="A138:D138"/>
    <mergeCell ref="H138:K138"/>
    <mergeCell ref="A139:D139"/>
    <mergeCell ref="H139:K139"/>
    <mergeCell ref="A134:D134"/>
    <mergeCell ref="H134:K134"/>
    <mergeCell ref="A135:D135"/>
    <mergeCell ref="H135:K135"/>
    <mergeCell ref="A136:D136"/>
    <mergeCell ref="H136:K136"/>
    <mergeCell ref="A143:D143"/>
    <mergeCell ref="H143:K143"/>
    <mergeCell ref="A144:F144"/>
    <mergeCell ref="G144:K144"/>
    <mergeCell ref="A145:K145"/>
    <mergeCell ref="A146:K146"/>
    <mergeCell ref="A140:D140"/>
    <mergeCell ref="H140:K140"/>
    <mergeCell ref="A141:D141"/>
    <mergeCell ref="H141:K141"/>
    <mergeCell ref="A142:D142"/>
    <mergeCell ref="H142:K142"/>
    <mergeCell ref="A154:D154"/>
    <mergeCell ref="H154:K154"/>
    <mergeCell ref="A155:D155"/>
    <mergeCell ref="H155:K155"/>
    <mergeCell ref="A156:D156"/>
    <mergeCell ref="H156:K156"/>
    <mergeCell ref="A147:K147"/>
    <mergeCell ref="A148:D153"/>
    <mergeCell ref="E148:E153"/>
    <mergeCell ref="F148:F153"/>
    <mergeCell ref="G148:G153"/>
    <mergeCell ref="H148:K153"/>
    <mergeCell ref="A160:D160"/>
    <mergeCell ref="H160:K160"/>
    <mergeCell ref="A161:D161"/>
    <mergeCell ref="H161:K161"/>
    <mergeCell ref="A162:D162"/>
    <mergeCell ref="H162:K162"/>
    <mergeCell ref="A157:D157"/>
    <mergeCell ref="H157:K157"/>
    <mergeCell ref="A158:D158"/>
    <mergeCell ref="H158:K158"/>
    <mergeCell ref="A159:D159"/>
    <mergeCell ref="H159:K159"/>
    <mergeCell ref="A166:D166"/>
    <mergeCell ref="H166:K166"/>
    <mergeCell ref="A167:D167"/>
    <mergeCell ref="H167:K167"/>
    <mergeCell ref="A168:D168"/>
    <mergeCell ref="H168:K168"/>
    <mergeCell ref="A163:D163"/>
    <mergeCell ref="H163:K163"/>
    <mergeCell ref="A164:D164"/>
    <mergeCell ref="H164:K164"/>
    <mergeCell ref="A165:D165"/>
    <mergeCell ref="H165:K165"/>
    <mergeCell ref="A172:D172"/>
    <mergeCell ref="H172:K172"/>
    <mergeCell ref="A173:D173"/>
    <mergeCell ref="H173:K173"/>
    <mergeCell ref="A174:D174"/>
    <mergeCell ref="H174:K174"/>
    <mergeCell ref="A169:D169"/>
    <mergeCell ref="H169:K169"/>
    <mergeCell ref="A170:D170"/>
    <mergeCell ref="H170:K170"/>
    <mergeCell ref="A171:D171"/>
    <mergeCell ref="H171:K171"/>
    <mergeCell ref="A178:D178"/>
    <mergeCell ref="H178:K178"/>
    <mergeCell ref="A179:F179"/>
    <mergeCell ref="G179:K179"/>
    <mergeCell ref="A180:K180"/>
    <mergeCell ref="A181:K181"/>
    <mergeCell ref="A175:D175"/>
    <mergeCell ref="H175:K175"/>
    <mergeCell ref="A176:D176"/>
    <mergeCell ref="H176:K176"/>
    <mergeCell ref="A177:D177"/>
    <mergeCell ref="H177:K177"/>
    <mergeCell ref="A189:D189"/>
    <mergeCell ref="H189:K189"/>
    <mergeCell ref="A190:D190"/>
    <mergeCell ref="H190:K190"/>
    <mergeCell ref="A191:D191"/>
    <mergeCell ref="H191:K191"/>
    <mergeCell ref="A182:K182"/>
    <mergeCell ref="A183:D188"/>
    <mergeCell ref="E183:E188"/>
    <mergeCell ref="F183:F188"/>
    <mergeCell ref="G183:G188"/>
    <mergeCell ref="H183:K188"/>
    <mergeCell ref="A195:D195"/>
    <mergeCell ref="H195:K195"/>
    <mergeCell ref="A196:D196"/>
    <mergeCell ref="H196:K196"/>
    <mergeCell ref="A197:D197"/>
    <mergeCell ref="H197:K197"/>
    <mergeCell ref="A192:D192"/>
    <mergeCell ref="H192:K192"/>
    <mergeCell ref="A193:D193"/>
    <mergeCell ref="H193:K193"/>
    <mergeCell ref="A194:D194"/>
    <mergeCell ref="H194:K194"/>
    <mergeCell ref="A201:D201"/>
    <mergeCell ref="H201:K201"/>
    <mergeCell ref="A202:D202"/>
    <mergeCell ref="H202:K202"/>
    <mergeCell ref="A203:D203"/>
    <mergeCell ref="H203:K203"/>
    <mergeCell ref="A198:D198"/>
    <mergeCell ref="H198:K198"/>
    <mergeCell ref="A199:D199"/>
    <mergeCell ref="H199:K199"/>
    <mergeCell ref="A200:D200"/>
    <mergeCell ref="H200:K200"/>
    <mergeCell ref="A207:D207"/>
    <mergeCell ref="H207:K207"/>
    <mergeCell ref="A208:D208"/>
    <mergeCell ref="H208:K208"/>
    <mergeCell ref="A209:D209"/>
    <mergeCell ref="H209:K209"/>
    <mergeCell ref="A204:D204"/>
    <mergeCell ref="H204:K204"/>
    <mergeCell ref="A205:D205"/>
    <mergeCell ref="H205:K205"/>
    <mergeCell ref="A206:D206"/>
    <mergeCell ref="H206:K206"/>
    <mergeCell ref="A213:D213"/>
    <mergeCell ref="H213:K213"/>
    <mergeCell ref="A214:F214"/>
    <mergeCell ref="G214:K214"/>
    <mergeCell ref="A210:D210"/>
    <mergeCell ref="H210:K210"/>
    <mergeCell ref="A211:D211"/>
    <mergeCell ref="H211:K211"/>
    <mergeCell ref="A212:D212"/>
    <mergeCell ref="H212:K212"/>
  </mergeCells>
  <dataValidations disablePrompts="1" count="6">
    <dataValidation allowBlank="1" showInputMessage="1" showErrorMessage="1" promptTitle="% of FTE" prompt="Input a percentage or decimal showing the portion of this individual's total salary and benefits to be paid from these funds." sqref="F14:F38"/>
    <dataValidation allowBlank="1" showInputMessage="1" showErrorMessage="1" promptTitle="Total Amount" prompt="Input the total amount of these funds being used to fund this individual's salary and benefits." sqref="G14:G38"/>
    <dataValidation type="list" allowBlank="1" showInputMessage="1" showErrorMessage="1" sqref="E119:E143 E154:E178 E84:E108 D14:D38 E49:E73 E189:E213">
      <formula1>program</formula1>
    </dataValidation>
    <dataValidation allowBlank="1" showErrorMessage="1" sqref="G49:G73 G84:G108 G119:G143 G154:G178 G189:G213"/>
    <dataValidation type="list" allowBlank="1" showInputMessage="1" showErrorMessage="1" sqref="F189:F213 F154:F178 F119:F143 F84:F108 F49:F73 E14:E38">
      <formula1>setasides3</formula1>
    </dataValidation>
    <dataValidation type="textLength" operator="lessThan" allowBlank="1" showInputMessage="1" showErrorMessage="1" errorTitle="Too Much Text" error="Provide a brief description using no more than 100 characters here.  A more full description should be included within the summary worksheet (tab 16)." sqref="H14:K38 H49:K73 H84:K108 H119:K142 H143:K143 H154:K178 H189:K213">
      <formula1>101</formula1>
    </dataValidation>
  </dataValidations>
  <pageMargins left="0.75" right="0.75" top="1" bottom="1" header="0.5" footer="0.5"/>
  <pageSetup scale="76" fitToHeight="0" orientation="landscape" r:id="rId1"/>
  <headerFooter alignWithMargins="0">
    <oddHeader>&amp;LFFY 2012 Consolidated Application&amp;C&amp;A&amp;R&amp;P of &amp;N</oddHeader>
  </headerFooter>
  <rowBreaks count="5" manualBreakCount="5">
    <brk id="39" max="16383" man="1"/>
    <brk id="75" max="10" man="1"/>
    <brk id="110" max="10" man="1"/>
    <brk id="145" max="10" man="1"/>
    <brk id="18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62"/>
  <sheetViews>
    <sheetView tabSelected="1" topLeftCell="A27" zoomScale="95" zoomScaleNormal="95" workbookViewId="0">
      <selection activeCell="F46" sqref="F46:J46"/>
    </sheetView>
  </sheetViews>
  <sheetFormatPr defaultColWidth="9.140625" defaultRowHeight="12.75" x14ac:dyDescent="0.2"/>
  <cols>
    <col min="1" max="10" width="15.7109375" style="2" customWidth="1"/>
    <col min="11" max="51" width="4.7109375" style="2" customWidth="1"/>
    <col min="52" max="16384" width="9.140625" style="2"/>
  </cols>
  <sheetData>
    <row r="1" spans="1:10" ht="60" customHeight="1" thickBot="1" x14ac:dyDescent="0.25">
      <c r="A1" s="218"/>
      <c r="B1" s="218"/>
      <c r="C1" s="218"/>
      <c r="D1" s="218"/>
      <c r="E1" s="218"/>
      <c r="F1" s="218"/>
      <c r="G1" s="218"/>
      <c r="H1" s="218"/>
      <c r="I1" s="218"/>
      <c r="J1" s="218"/>
    </row>
    <row r="2" spans="1:10" ht="15" customHeight="1" thickBot="1" x14ac:dyDescent="0.25">
      <c r="A2" s="244"/>
      <c r="B2" s="244"/>
      <c r="C2" s="244"/>
      <c r="D2" s="244"/>
      <c r="E2" s="244"/>
      <c r="F2" s="244"/>
      <c r="G2" s="244"/>
      <c r="H2" s="244"/>
      <c r="I2" s="244"/>
      <c r="J2" s="244"/>
    </row>
    <row r="3" spans="1:10" ht="9.9499999999999993" customHeight="1" thickTop="1" x14ac:dyDescent="0.2">
      <c r="A3" s="245" t="s">
        <v>8</v>
      </c>
      <c r="B3" s="246"/>
      <c r="C3" s="246"/>
      <c r="D3" s="246"/>
      <c r="E3" s="246"/>
      <c r="F3" s="246"/>
      <c r="G3" s="246"/>
      <c r="H3" s="246"/>
      <c r="I3" s="246"/>
      <c r="J3" s="247"/>
    </row>
    <row r="4" spans="1:10" ht="9.9499999999999993" customHeight="1" thickBot="1" x14ac:dyDescent="0.25">
      <c r="A4" s="248"/>
      <c r="B4" s="249"/>
      <c r="C4" s="249"/>
      <c r="D4" s="249"/>
      <c r="E4" s="249"/>
      <c r="F4" s="249"/>
      <c r="G4" s="249"/>
      <c r="H4" s="249"/>
      <c r="I4" s="249"/>
      <c r="J4" s="250"/>
    </row>
    <row r="5" spans="1:10" ht="15" customHeight="1" thickTop="1" x14ac:dyDescent="0.2">
      <c r="A5" s="251" t="s">
        <v>394</v>
      </c>
      <c r="B5" s="252"/>
      <c r="C5" s="252"/>
      <c r="D5" s="252"/>
      <c r="E5" s="253"/>
      <c r="F5" s="251" t="s">
        <v>9</v>
      </c>
      <c r="G5" s="252"/>
      <c r="H5" s="252"/>
      <c r="I5" s="252"/>
      <c r="J5" s="253"/>
    </row>
    <row r="6" spans="1:10" ht="30" customHeight="1" x14ac:dyDescent="0.2">
      <c r="A6" s="254" t="s">
        <v>418</v>
      </c>
      <c r="B6" s="255"/>
      <c r="C6" s="255"/>
      <c r="D6" s="255"/>
      <c r="E6" s="256"/>
      <c r="F6" s="254" t="s">
        <v>626</v>
      </c>
      <c r="G6" s="255"/>
      <c r="H6" s="255"/>
      <c r="I6" s="255"/>
      <c r="J6" s="256"/>
    </row>
    <row r="7" spans="1:10" ht="15" customHeight="1" x14ac:dyDescent="0.2">
      <c r="A7" s="257" t="s">
        <v>10</v>
      </c>
      <c r="B7" s="232"/>
      <c r="C7" s="232"/>
      <c r="D7" s="232"/>
      <c r="E7" s="258"/>
      <c r="F7" s="257" t="s">
        <v>11</v>
      </c>
      <c r="G7" s="232"/>
      <c r="H7" s="232"/>
      <c r="I7" s="232"/>
      <c r="J7" s="258"/>
    </row>
    <row r="8" spans="1:10" ht="30" customHeight="1" x14ac:dyDescent="0.2">
      <c r="A8" s="254" t="s">
        <v>665</v>
      </c>
      <c r="B8" s="255"/>
      <c r="C8" s="255"/>
      <c r="D8" s="255"/>
      <c r="E8" s="256"/>
      <c r="F8" s="259" t="s">
        <v>625</v>
      </c>
      <c r="G8" s="255"/>
      <c r="H8" s="255"/>
      <c r="I8" s="255"/>
      <c r="J8" s="256"/>
    </row>
    <row r="9" spans="1:10" ht="15" customHeight="1" x14ac:dyDescent="0.2">
      <c r="A9" s="257" t="s">
        <v>0</v>
      </c>
      <c r="B9" s="232"/>
      <c r="C9" s="232"/>
      <c r="D9" s="232"/>
      <c r="E9" s="258"/>
      <c r="F9" s="257" t="s">
        <v>12</v>
      </c>
      <c r="G9" s="232"/>
      <c r="H9" s="232"/>
      <c r="I9" s="232"/>
      <c r="J9" s="258"/>
    </row>
    <row r="10" spans="1:10" ht="30" customHeight="1" thickBot="1" x14ac:dyDescent="0.25">
      <c r="A10" s="260" t="s">
        <v>624</v>
      </c>
      <c r="B10" s="261"/>
      <c r="C10" s="261"/>
      <c r="D10" s="261"/>
      <c r="E10" s="262"/>
      <c r="F10" s="263" t="s">
        <v>666</v>
      </c>
      <c r="G10" s="264"/>
      <c r="H10" s="264"/>
      <c r="I10" s="264"/>
      <c r="J10" s="265"/>
    </row>
    <row r="11" spans="1:10" ht="15" customHeight="1" thickTop="1" x14ac:dyDescent="0.2">
      <c r="A11" s="251" t="s">
        <v>13</v>
      </c>
      <c r="B11" s="252"/>
      <c r="C11" s="252"/>
      <c r="D11" s="252"/>
      <c r="E11" s="253"/>
      <c r="F11" s="266" t="s">
        <v>14</v>
      </c>
      <c r="G11" s="252"/>
      <c r="H11" s="252"/>
      <c r="I11" s="252"/>
      <c r="J11" s="253"/>
    </row>
    <row r="12" spans="1:10" ht="30" customHeight="1" x14ac:dyDescent="0.2">
      <c r="A12" s="254" t="s">
        <v>669</v>
      </c>
      <c r="B12" s="255"/>
      <c r="C12" s="255"/>
      <c r="D12" s="255"/>
      <c r="E12" s="256"/>
      <c r="F12" s="267" t="s">
        <v>668</v>
      </c>
      <c r="G12" s="255"/>
      <c r="H12" s="255"/>
      <c r="I12" s="255"/>
      <c r="J12" s="256"/>
    </row>
    <row r="13" spans="1:10" ht="15" customHeight="1" x14ac:dyDescent="0.2">
      <c r="A13" s="257" t="s">
        <v>15</v>
      </c>
      <c r="B13" s="232"/>
      <c r="C13" s="232"/>
      <c r="D13" s="232"/>
      <c r="E13" s="258"/>
      <c r="F13" s="268" t="s">
        <v>16</v>
      </c>
      <c r="G13" s="232"/>
      <c r="H13" s="232"/>
      <c r="I13" s="232"/>
      <c r="J13" s="258"/>
    </row>
    <row r="14" spans="1:10" ht="30" customHeight="1" x14ac:dyDescent="0.2">
      <c r="A14" s="254" t="s">
        <v>663</v>
      </c>
      <c r="B14" s="255"/>
      <c r="C14" s="255"/>
      <c r="D14" s="255"/>
      <c r="E14" s="256"/>
      <c r="F14" s="267" t="s">
        <v>664</v>
      </c>
      <c r="G14" s="255"/>
      <c r="H14" s="255"/>
      <c r="I14" s="255"/>
      <c r="J14" s="256"/>
    </row>
    <row r="15" spans="1:10" ht="15" customHeight="1" x14ac:dyDescent="0.2">
      <c r="A15" s="257" t="s">
        <v>17</v>
      </c>
      <c r="B15" s="232"/>
      <c r="C15" s="232"/>
      <c r="D15" s="232"/>
      <c r="E15" s="258"/>
      <c r="F15" s="268" t="s">
        <v>18</v>
      </c>
      <c r="G15" s="232"/>
      <c r="H15" s="232"/>
      <c r="I15" s="232"/>
      <c r="J15" s="258"/>
    </row>
    <row r="16" spans="1:10" ht="30" customHeight="1" x14ac:dyDescent="0.2">
      <c r="A16" s="259" t="s">
        <v>670</v>
      </c>
      <c r="B16" s="255"/>
      <c r="C16" s="255"/>
      <c r="D16" s="255"/>
      <c r="E16" s="256"/>
      <c r="F16" s="269" t="s">
        <v>671</v>
      </c>
      <c r="G16" s="255"/>
      <c r="H16" s="255"/>
      <c r="I16" s="255"/>
      <c r="J16" s="256"/>
    </row>
    <row r="17" spans="1:10" ht="15" customHeight="1" x14ac:dyDescent="0.2">
      <c r="A17" s="270" t="s">
        <v>19</v>
      </c>
      <c r="B17" s="271"/>
      <c r="C17" s="271"/>
      <c r="D17" s="271"/>
      <c r="E17" s="272"/>
      <c r="F17" s="273" t="s">
        <v>20</v>
      </c>
      <c r="G17" s="271"/>
      <c r="H17" s="271"/>
      <c r="I17" s="271"/>
      <c r="J17" s="272"/>
    </row>
    <row r="18" spans="1:10" ht="30" customHeight="1" thickBot="1" x14ac:dyDescent="0.25">
      <c r="A18" s="263" t="s">
        <v>624</v>
      </c>
      <c r="B18" s="264"/>
      <c r="C18" s="264"/>
      <c r="D18" s="264"/>
      <c r="E18" s="265"/>
      <c r="F18" s="274" t="s">
        <v>627</v>
      </c>
      <c r="G18" s="264"/>
      <c r="H18" s="264"/>
      <c r="I18" s="264"/>
      <c r="J18" s="265"/>
    </row>
    <row r="19" spans="1:10" ht="9.9499999999999993" customHeight="1" thickTop="1" x14ac:dyDescent="0.2">
      <c r="A19" s="224" t="s">
        <v>31</v>
      </c>
      <c r="B19" s="225"/>
      <c r="C19" s="225"/>
      <c r="D19" s="225"/>
      <c r="E19" s="225"/>
      <c r="F19" s="225"/>
      <c r="G19" s="225"/>
      <c r="H19" s="225"/>
      <c r="I19" s="225"/>
      <c r="J19" s="226"/>
    </row>
    <row r="20" spans="1:10" ht="9.9499999999999993" customHeight="1" x14ac:dyDescent="0.2">
      <c r="A20" s="227"/>
      <c r="B20" s="228"/>
      <c r="C20" s="228"/>
      <c r="D20" s="228"/>
      <c r="E20" s="228"/>
      <c r="F20" s="228"/>
      <c r="G20" s="228"/>
      <c r="H20" s="228"/>
      <c r="I20" s="228"/>
      <c r="J20" s="229"/>
    </row>
    <row r="21" spans="1:10" ht="12.6" customHeight="1" x14ac:dyDescent="0.2">
      <c r="A21" s="275" t="s">
        <v>38</v>
      </c>
      <c r="B21" s="276"/>
      <c r="C21" s="276"/>
      <c r="D21" s="276"/>
      <c r="E21" s="276"/>
      <c r="F21" s="276"/>
      <c r="G21" s="276"/>
      <c r="H21" s="276"/>
      <c r="I21" s="276"/>
      <c r="J21" s="277"/>
    </row>
    <row r="22" spans="1:10" ht="12.6" customHeight="1" x14ac:dyDescent="0.2">
      <c r="A22" s="278"/>
      <c r="B22" s="279"/>
      <c r="C22" s="279"/>
      <c r="D22" s="279"/>
      <c r="E22" s="279"/>
      <c r="F22" s="279"/>
      <c r="G22" s="279"/>
      <c r="H22" s="279"/>
      <c r="I22" s="279"/>
      <c r="J22" s="280"/>
    </row>
    <row r="23" spans="1:10" ht="12.6" customHeight="1" x14ac:dyDescent="0.2">
      <c r="A23" s="278"/>
      <c r="B23" s="279"/>
      <c r="C23" s="279"/>
      <c r="D23" s="279"/>
      <c r="E23" s="279"/>
      <c r="F23" s="279"/>
      <c r="G23" s="279"/>
      <c r="H23" s="279"/>
      <c r="I23" s="279"/>
      <c r="J23" s="280"/>
    </row>
    <row r="24" spans="1:10" ht="12.6" customHeight="1" x14ac:dyDescent="0.2">
      <c r="A24" s="278"/>
      <c r="B24" s="279"/>
      <c r="C24" s="279"/>
      <c r="D24" s="279"/>
      <c r="E24" s="279"/>
      <c r="F24" s="279"/>
      <c r="G24" s="279"/>
      <c r="H24" s="279"/>
      <c r="I24" s="279"/>
      <c r="J24" s="280"/>
    </row>
    <row r="25" spans="1:10" ht="12.6" customHeight="1" x14ac:dyDescent="0.2">
      <c r="A25" s="278"/>
      <c r="B25" s="279"/>
      <c r="C25" s="279"/>
      <c r="D25" s="279"/>
      <c r="E25" s="279"/>
      <c r="F25" s="279"/>
      <c r="G25" s="279"/>
      <c r="H25" s="279"/>
      <c r="I25" s="279"/>
      <c r="J25" s="280"/>
    </row>
    <row r="26" spans="1:10" ht="12.6" customHeight="1" x14ac:dyDescent="0.2">
      <c r="A26" s="281"/>
      <c r="B26" s="282"/>
      <c r="C26" s="282"/>
      <c r="D26" s="282"/>
      <c r="E26" s="282"/>
      <c r="F26" s="282"/>
      <c r="G26" s="282"/>
      <c r="H26" s="282"/>
      <c r="I26" s="282"/>
      <c r="J26" s="283"/>
    </row>
    <row r="27" spans="1:10" ht="15" customHeight="1" x14ac:dyDescent="0.2">
      <c r="A27" s="238"/>
      <c r="B27" s="290" t="s">
        <v>29</v>
      </c>
      <c r="C27" s="291"/>
      <c r="D27" s="288"/>
      <c r="E27" s="236" t="s">
        <v>30</v>
      </c>
      <c r="F27" s="237"/>
      <c r="G27" s="288"/>
      <c r="H27" s="236" t="s">
        <v>39</v>
      </c>
      <c r="I27" s="237"/>
      <c r="J27" s="240"/>
    </row>
    <row r="28" spans="1:10" ht="24.95" customHeight="1" x14ac:dyDescent="0.2">
      <c r="A28" s="239"/>
      <c r="B28" s="242">
        <v>386777.47</v>
      </c>
      <c r="C28" s="243"/>
      <c r="D28" s="289"/>
      <c r="E28" s="242">
        <v>85971.199999999997</v>
      </c>
      <c r="F28" s="243"/>
      <c r="G28" s="289"/>
      <c r="H28" s="242"/>
      <c r="I28" s="243"/>
      <c r="J28" s="241"/>
    </row>
    <row r="29" spans="1:10" ht="9.9499999999999993" customHeight="1" x14ac:dyDescent="0.2">
      <c r="A29" s="224" t="s">
        <v>33</v>
      </c>
      <c r="B29" s="225"/>
      <c r="C29" s="225"/>
      <c r="D29" s="225"/>
      <c r="E29" s="225"/>
      <c r="F29" s="225"/>
      <c r="G29" s="225"/>
      <c r="H29" s="225"/>
      <c r="I29" s="225"/>
      <c r="J29" s="226"/>
    </row>
    <row r="30" spans="1:10" ht="9.9499999999999993" customHeight="1" x14ac:dyDescent="0.2">
      <c r="A30" s="227"/>
      <c r="B30" s="228"/>
      <c r="C30" s="228"/>
      <c r="D30" s="228"/>
      <c r="E30" s="228"/>
      <c r="F30" s="228"/>
      <c r="G30" s="228"/>
      <c r="H30" s="228"/>
      <c r="I30" s="228"/>
      <c r="J30" s="229"/>
    </row>
    <row r="31" spans="1:10" ht="12.6" customHeight="1" x14ac:dyDescent="0.2">
      <c r="A31" s="275" t="s">
        <v>516</v>
      </c>
      <c r="B31" s="276"/>
      <c r="C31" s="276"/>
      <c r="D31" s="276"/>
      <c r="E31" s="276"/>
      <c r="F31" s="276"/>
      <c r="G31" s="276"/>
      <c r="H31" s="276"/>
      <c r="I31" s="276"/>
      <c r="J31" s="277"/>
    </row>
    <row r="32" spans="1:10" ht="12.6" customHeight="1" x14ac:dyDescent="0.2">
      <c r="A32" s="278"/>
      <c r="B32" s="279"/>
      <c r="C32" s="279"/>
      <c r="D32" s="279"/>
      <c r="E32" s="279"/>
      <c r="F32" s="279"/>
      <c r="G32" s="279"/>
      <c r="H32" s="279"/>
      <c r="I32" s="279"/>
      <c r="J32" s="280"/>
    </row>
    <row r="33" spans="1:10" ht="12.6" customHeight="1" x14ac:dyDescent="0.2">
      <c r="A33" s="278"/>
      <c r="B33" s="279"/>
      <c r="C33" s="279"/>
      <c r="D33" s="279"/>
      <c r="E33" s="279"/>
      <c r="F33" s="279"/>
      <c r="G33" s="279"/>
      <c r="H33" s="279"/>
      <c r="I33" s="279"/>
      <c r="J33" s="280"/>
    </row>
    <row r="34" spans="1:10" ht="12.6" customHeight="1" x14ac:dyDescent="0.2">
      <c r="A34" s="278"/>
      <c r="B34" s="279"/>
      <c r="C34" s="279"/>
      <c r="D34" s="279"/>
      <c r="E34" s="279"/>
      <c r="F34" s="279"/>
      <c r="G34" s="279"/>
      <c r="H34" s="279"/>
      <c r="I34" s="279"/>
      <c r="J34" s="280"/>
    </row>
    <row r="35" spans="1:10" ht="12.6" customHeight="1" x14ac:dyDescent="0.2">
      <c r="A35" s="278"/>
      <c r="B35" s="279"/>
      <c r="C35" s="279"/>
      <c r="D35" s="279"/>
      <c r="E35" s="279"/>
      <c r="F35" s="279"/>
      <c r="G35" s="279"/>
      <c r="H35" s="279"/>
      <c r="I35" s="279"/>
      <c r="J35" s="280"/>
    </row>
    <row r="36" spans="1:10" ht="12.6" customHeight="1" x14ac:dyDescent="0.2">
      <c r="A36" s="281"/>
      <c r="B36" s="282"/>
      <c r="C36" s="282"/>
      <c r="D36" s="282"/>
      <c r="E36" s="282"/>
      <c r="F36" s="282"/>
      <c r="G36" s="282"/>
      <c r="H36" s="282"/>
      <c r="I36" s="282"/>
      <c r="J36" s="283"/>
    </row>
    <row r="37" spans="1:10" ht="15" customHeight="1" x14ac:dyDescent="0.2">
      <c r="A37" s="285"/>
      <c r="B37" s="287" t="s">
        <v>35</v>
      </c>
      <c r="C37" s="287"/>
      <c r="D37" s="230"/>
      <c r="E37" s="232" t="s">
        <v>36</v>
      </c>
      <c r="F37" s="232"/>
      <c r="G37" s="230"/>
      <c r="H37" s="232" t="s">
        <v>37</v>
      </c>
      <c r="I37" s="232"/>
      <c r="J37" s="233"/>
    </row>
    <row r="38" spans="1:10" ht="24.95" customHeight="1" x14ac:dyDescent="0.2">
      <c r="A38" s="286"/>
      <c r="B38" s="235"/>
      <c r="C38" s="235"/>
      <c r="D38" s="231"/>
      <c r="E38" s="235"/>
      <c r="F38" s="235"/>
      <c r="G38" s="231"/>
      <c r="H38" s="235" t="s">
        <v>23</v>
      </c>
      <c r="I38" s="235"/>
      <c r="J38" s="234"/>
    </row>
    <row r="39" spans="1:10" ht="9.9499999999999993" customHeight="1" x14ac:dyDescent="0.2">
      <c r="A39" s="224" t="s">
        <v>32</v>
      </c>
      <c r="B39" s="225"/>
      <c r="C39" s="225"/>
      <c r="D39" s="225"/>
      <c r="E39" s="225"/>
      <c r="F39" s="225"/>
      <c r="G39" s="225"/>
      <c r="H39" s="225"/>
      <c r="I39" s="225"/>
      <c r="J39" s="226"/>
    </row>
    <row r="40" spans="1:10" ht="9.9499999999999993" customHeight="1" x14ac:dyDescent="0.2">
      <c r="A40" s="227"/>
      <c r="B40" s="228"/>
      <c r="C40" s="228"/>
      <c r="D40" s="228"/>
      <c r="E40" s="228"/>
      <c r="F40" s="228"/>
      <c r="G40" s="228"/>
      <c r="H40" s="228"/>
      <c r="I40" s="228"/>
      <c r="J40" s="229"/>
    </row>
    <row r="41" spans="1:10" ht="12.6" customHeight="1" x14ac:dyDescent="0.2">
      <c r="A41" s="275" t="s">
        <v>34</v>
      </c>
      <c r="B41" s="276"/>
      <c r="C41" s="276"/>
      <c r="D41" s="276"/>
      <c r="E41" s="276"/>
      <c r="F41" s="276"/>
      <c r="G41" s="276"/>
      <c r="H41" s="276"/>
      <c r="I41" s="276"/>
      <c r="J41" s="277"/>
    </row>
    <row r="42" spans="1:10" ht="12.6" customHeight="1" x14ac:dyDescent="0.2">
      <c r="A42" s="278"/>
      <c r="B42" s="279"/>
      <c r="C42" s="279"/>
      <c r="D42" s="279"/>
      <c r="E42" s="279"/>
      <c r="F42" s="279"/>
      <c r="G42" s="279"/>
      <c r="H42" s="279"/>
      <c r="I42" s="279"/>
      <c r="J42" s="280"/>
    </row>
    <row r="43" spans="1:10" ht="12.6" customHeight="1" x14ac:dyDescent="0.2">
      <c r="A43" s="278"/>
      <c r="B43" s="279"/>
      <c r="C43" s="279"/>
      <c r="D43" s="279"/>
      <c r="E43" s="279"/>
      <c r="F43" s="279"/>
      <c r="G43" s="279"/>
      <c r="H43" s="279"/>
      <c r="I43" s="279"/>
      <c r="J43" s="280"/>
    </row>
    <row r="44" spans="1:10" ht="12.6" customHeight="1" x14ac:dyDescent="0.2">
      <c r="A44" s="281"/>
      <c r="B44" s="282"/>
      <c r="C44" s="282"/>
      <c r="D44" s="282"/>
      <c r="E44" s="282"/>
      <c r="F44" s="282"/>
      <c r="G44" s="282"/>
      <c r="H44" s="282"/>
      <c r="I44" s="282"/>
      <c r="J44" s="283"/>
    </row>
    <row r="45" spans="1:10" ht="15" customHeight="1" x14ac:dyDescent="0.2">
      <c r="A45" s="270" t="s">
        <v>506</v>
      </c>
      <c r="B45" s="271"/>
      <c r="C45" s="271"/>
      <c r="D45" s="271"/>
      <c r="E45" s="271"/>
      <c r="F45" s="284" t="s">
        <v>508</v>
      </c>
      <c r="G45" s="271"/>
      <c r="H45" s="271"/>
      <c r="I45" s="271"/>
      <c r="J45" s="272"/>
    </row>
    <row r="46" spans="1:10" ht="45" customHeight="1" x14ac:dyDescent="0.2">
      <c r="A46" s="254" t="s">
        <v>642</v>
      </c>
      <c r="B46" s="255"/>
      <c r="C46" s="255"/>
      <c r="D46" s="255"/>
      <c r="E46" s="255"/>
      <c r="F46" s="292"/>
      <c r="G46" s="293"/>
      <c r="H46" s="293"/>
      <c r="I46" s="293"/>
      <c r="J46" s="294"/>
    </row>
    <row r="47" spans="1:10" ht="15" customHeight="1" x14ac:dyDescent="0.2">
      <c r="A47" s="257" t="s">
        <v>507</v>
      </c>
      <c r="B47" s="232"/>
      <c r="C47" s="232"/>
      <c r="D47" s="232"/>
      <c r="E47" s="232"/>
      <c r="F47" s="284" t="s">
        <v>21</v>
      </c>
      <c r="G47" s="271"/>
      <c r="H47" s="271"/>
      <c r="I47" s="271"/>
      <c r="J47" s="272"/>
    </row>
    <row r="48" spans="1:10" ht="45" customHeight="1" thickBot="1" x14ac:dyDescent="0.25">
      <c r="A48" s="263" t="s">
        <v>6</v>
      </c>
      <c r="B48" s="264"/>
      <c r="C48" s="264"/>
      <c r="D48" s="264"/>
      <c r="E48" s="264"/>
      <c r="F48" s="295"/>
      <c r="G48" s="296"/>
      <c r="H48" s="296"/>
      <c r="I48" s="296"/>
      <c r="J48" s="297"/>
    </row>
    <row r="49" spans="1:10" ht="9.9499999999999993" customHeight="1" thickTop="1" x14ac:dyDescent="0.2">
      <c r="A49" s="224"/>
      <c r="B49" s="225"/>
      <c r="C49" s="225"/>
      <c r="D49" s="225"/>
      <c r="E49" s="225"/>
      <c r="F49" s="225"/>
      <c r="G49" s="225"/>
      <c r="H49" s="225"/>
      <c r="I49" s="225"/>
      <c r="J49" s="226"/>
    </row>
    <row r="50" spans="1:10" ht="9.9499999999999993" customHeight="1" thickBot="1" x14ac:dyDescent="0.25">
      <c r="A50" s="227"/>
      <c r="B50" s="228"/>
      <c r="C50" s="228"/>
      <c r="D50" s="228"/>
      <c r="E50" s="228"/>
      <c r="F50" s="228"/>
      <c r="G50" s="228"/>
      <c r="H50" s="228"/>
      <c r="I50" s="228"/>
      <c r="J50" s="229"/>
    </row>
    <row r="51" spans="1:10" ht="9.9499999999999993" customHeight="1" thickTop="1" x14ac:dyDescent="0.2">
      <c r="A51" s="304" t="s">
        <v>142</v>
      </c>
      <c r="B51" s="305"/>
      <c r="C51" s="305"/>
      <c r="D51" s="305"/>
      <c r="E51" s="305"/>
      <c r="F51" s="305"/>
      <c r="G51" s="305"/>
      <c r="H51" s="305"/>
      <c r="I51" s="305"/>
      <c r="J51" s="306"/>
    </row>
    <row r="52" spans="1:10" ht="9.9499999999999993" customHeight="1" x14ac:dyDescent="0.2">
      <c r="A52" s="307"/>
      <c r="B52" s="308"/>
      <c r="C52" s="308"/>
      <c r="D52" s="308"/>
      <c r="E52" s="308"/>
      <c r="F52" s="308"/>
      <c r="G52" s="308"/>
      <c r="H52" s="308"/>
      <c r="I52" s="308"/>
      <c r="J52" s="309"/>
    </row>
    <row r="53" spans="1:10" ht="9.9499999999999993" customHeight="1" thickBot="1" x14ac:dyDescent="0.25">
      <c r="A53" s="310"/>
      <c r="B53" s="311"/>
      <c r="C53" s="311"/>
      <c r="D53" s="311"/>
      <c r="E53" s="311"/>
      <c r="F53" s="311"/>
      <c r="G53" s="311"/>
      <c r="H53" s="311"/>
      <c r="I53" s="311"/>
      <c r="J53" s="312"/>
    </row>
    <row r="54" spans="1:10" ht="15" customHeight="1" thickTop="1" thickBot="1" x14ac:dyDescent="0.25">
      <c r="A54" s="23"/>
      <c r="B54" s="24"/>
      <c r="C54" s="24"/>
      <c r="D54" s="24"/>
      <c r="E54" s="24"/>
      <c r="F54" s="24"/>
      <c r="G54" s="24"/>
      <c r="H54" s="24"/>
      <c r="I54" s="24"/>
      <c r="J54" s="25"/>
    </row>
    <row r="55" spans="1:10" ht="9.9499999999999993" customHeight="1" thickTop="1" x14ac:dyDescent="0.2">
      <c r="A55" s="224" t="s">
        <v>22</v>
      </c>
      <c r="B55" s="225"/>
      <c r="C55" s="225"/>
      <c r="D55" s="225"/>
      <c r="E55" s="225"/>
      <c r="F55" s="225"/>
      <c r="G55" s="225"/>
      <c r="H55" s="225"/>
      <c r="I55" s="225"/>
      <c r="J55" s="226"/>
    </row>
    <row r="56" spans="1:10" ht="9.9499999999999993" customHeight="1" thickBot="1" x14ac:dyDescent="0.25">
      <c r="A56" s="227"/>
      <c r="B56" s="228"/>
      <c r="C56" s="228"/>
      <c r="D56" s="228"/>
      <c r="E56" s="228"/>
      <c r="F56" s="228"/>
      <c r="G56" s="228"/>
      <c r="H56" s="228"/>
      <c r="I56" s="228"/>
      <c r="J56" s="229"/>
    </row>
    <row r="57" spans="1:10" s="26" customFormat="1" ht="13.5" customHeight="1" x14ac:dyDescent="0.2">
      <c r="A57" s="313" t="s">
        <v>26</v>
      </c>
      <c r="B57" s="314"/>
      <c r="C57" s="314"/>
      <c r="D57" s="314"/>
      <c r="E57" s="314"/>
      <c r="F57" s="315"/>
      <c r="G57" s="315"/>
      <c r="H57" s="315"/>
      <c r="I57" s="315"/>
      <c r="J57" s="316"/>
    </row>
    <row r="58" spans="1:10" s="26" customFormat="1" ht="13.5" customHeight="1" thickBot="1" x14ac:dyDescent="0.25">
      <c r="A58" s="298" t="s">
        <v>27</v>
      </c>
      <c r="B58" s="299"/>
      <c r="C58" s="299"/>
      <c r="D58" s="299"/>
      <c r="E58" s="299"/>
      <c r="F58" s="300"/>
      <c r="G58" s="300"/>
      <c r="H58" s="300"/>
      <c r="I58" s="300"/>
      <c r="J58" s="301"/>
    </row>
    <row r="59" spans="1:10" ht="9.9499999999999993" customHeight="1" thickTop="1" x14ac:dyDescent="0.2">
      <c r="A59" s="125"/>
      <c r="B59" s="125"/>
      <c r="C59" s="125"/>
      <c r="D59" s="125"/>
      <c r="E59" s="125"/>
      <c r="F59" s="125"/>
      <c r="G59" s="125"/>
      <c r="H59" s="125"/>
      <c r="I59" s="125"/>
      <c r="J59" s="125"/>
    </row>
    <row r="60" spans="1:10" ht="50.1" customHeight="1" x14ac:dyDescent="0.25">
      <c r="A60" s="302" t="s">
        <v>28</v>
      </c>
      <c r="B60" s="303"/>
      <c r="C60" s="303"/>
      <c r="D60" s="303"/>
      <c r="E60" s="303"/>
      <c r="F60" s="303"/>
      <c r="G60" s="303"/>
      <c r="H60" s="303"/>
      <c r="I60" s="303"/>
      <c r="J60" s="303"/>
    </row>
    <row r="61" spans="1:10" hidden="1" x14ac:dyDescent="0.2"/>
    <row r="62" spans="1:10" hidden="1" x14ac:dyDescent="0.2">
      <c r="A62" s="2" t="s">
        <v>23</v>
      </c>
    </row>
  </sheetData>
  <sheetProtection password="E686" sheet="1" objects="1" scenarios="1"/>
  <mergeCells count="73">
    <mergeCell ref="A58:E58"/>
    <mergeCell ref="F58:J58"/>
    <mergeCell ref="A60:J60"/>
    <mergeCell ref="A49:J50"/>
    <mergeCell ref="A51:J53"/>
    <mergeCell ref="A55:J56"/>
    <mergeCell ref="A57:E57"/>
    <mergeCell ref="F57:J57"/>
    <mergeCell ref="A46:E46"/>
    <mergeCell ref="F46:J46"/>
    <mergeCell ref="A47:E47"/>
    <mergeCell ref="F47:J47"/>
    <mergeCell ref="A48:E48"/>
    <mergeCell ref="F48:J48"/>
    <mergeCell ref="A18:E18"/>
    <mergeCell ref="F18:J18"/>
    <mergeCell ref="A39:J40"/>
    <mergeCell ref="A41:J44"/>
    <mergeCell ref="A45:E45"/>
    <mergeCell ref="F45:J45"/>
    <mergeCell ref="A19:J20"/>
    <mergeCell ref="A21:J26"/>
    <mergeCell ref="A37:A38"/>
    <mergeCell ref="B37:C37"/>
    <mergeCell ref="D37:D38"/>
    <mergeCell ref="E37:F37"/>
    <mergeCell ref="D27:D28"/>
    <mergeCell ref="G27:G28"/>
    <mergeCell ref="A31:J36"/>
    <mergeCell ref="B27:C27"/>
    <mergeCell ref="A15:E15"/>
    <mergeCell ref="F15:J15"/>
    <mergeCell ref="A16:E16"/>
    <mergeCell ref="F16:J16"/>
    <mergeCell ref="A17:E17"/>
    <mergeCell ref="F17:J17"/>
    <mergeCell ref="A12:E12"/>
    <mergeCell ref="F12:J12"/>
    <mergeCell ref="A13:E13"/>
    <mergeCell ref="F13:J13"/>
    <mergeCell ref="A14:E14"/>
    <mergeCell ref="F14:J14"/>
    <mergeCell ref="A9:E9"/>
    <mergeCell ref="F9:J9"/>
    <mergeCell ref="A10:E10"/>
    <mergeCell ref="F10:J10"/>
    <mergeCell ref="A11:E11"/>
    <mergeCell ref="F11:J11"/>
    <mergeCell ref="A6:E6"/>
    <mergeCell ref="F6:J6"/>
    <mergeCell ref="A7:E7"/>
    <mergeCell ref="F7:J7"/>
    <mergeCell ref="A8:E8"/>
    <mergeCell ref="F8:J8"/>
    <mergeCell ref="A1:J1"/>
    <mergeCell ref="A2:J2"/>
    <mergeCell ref="A3:J4"/>
    <mergeCell ref="A5:E5"/>
    <mergeCell ref="F5:J5"/>
    <mergeCell ref="E27:F27"/>
    <mergeCell ref="H27:I27"/>
    <mergeCell ref="A27:A28"/>
    <mergeCell ref="J27:J28"/>
    <mergeCell ref="B28:C28"/>
    <mergeCell ref="E28:F28"/>
    <mergeCell ref="H28:I28"/>
    <mergeCell ref="A29:J30"/>
    <mergeCell ref="G37:G38"/>
    <mergeCell ref="H37:I37"/>
    <mergeCell ref="J37:J38"/>
    <mergeCell ref="B38:C38"/>
    <mergeCell ref="E38:F38"/>
    <mergeCell ref="H38:I38"/>
  </mergeCells>
  <dataValidations count="8">
    <dataValidation type="list" allowBlank="1" showInputMessage="1" showErrorMessage="1" promptTitle="Title" prompt="Select the title of the person who certifies the Phase II application on behalf of the LEA.  This must be the Chairperson of the Board of Directors for public charter school LEAs and the Chancellor for the District of Columbia Public Schools." sqref="A48:E48">
      <formula1>signature</formula1>
    </dataValidation>
    <dataValidation allowBlank="1" showInputMessage="1" showErrorMessage="1" promptTitle="Name" prompt="Input the name of the person who certifies the Phase II application on behalf of the LEA.  This must be the Chairperson of the Board of Directors for public charter school LEAs and the Chancellor for the District of Columbia Public Schools." sqref="A46:E46"/>
    <dataValidation type="decimal" operator="greaterThanOrEqual" allowBlank="1" showInputMessage="1" showErrorMessage="1" errorTitle="Title III Consortium" error="The LEA is eligible to apply for Title III, Part A funding only as part of a consortium with other LEAs through a separate application.  Please leave this cell blank and contact your TAL specialist for more information." sqref="H28:I28">
      <formula1>10000</formula1>
    </dataValidation>
    <dataValidation allowBlank="1" showInputMessage="1" showErrorMessage="1" promptTitle="Name" prompt="Input the name of the person who will be the main point of contact within the LEA for Consolidated Application programs." sqref="A12:E12"/>
    <dataValidation allowBlank="1" showInputMessage="1" showErrorMessage="1" promptTitle="Name" prompt="Input the full name of the Executive Director (or equivalent position) of the Local Educational Agency." sqref="F6:J6"/>
    <dataValidation allowBlank="1" showInputMessage="1" showErrorMessage="1" promptTitle="Name" prompt="Input the name of a secondary contact within the LEA for Consolidated Application programs." sqref="F12:J12"/>
    <dataValidation type="list" allowBlank="1" showInputMessage="1" showErrorMessage="1" sqref="B38:C38 E38:F38 H38:I38">
      <formula1>check2</formula1>
    </dataValidation>
    <dataValidation type="list" allowBlank="1" showInputMessage="1" showErrorMessage="1" promptTitle="LEA Name" prompt="Select the name of your LEA from the drop-down menu." sqref="A6:E6">
      <formula1>LEA</formula1>
    </dataValidation>
  </dataValidations>
  <pageMargins left="0.7" right="0.7" top="0.75" bottom="0.75" header="0.3" footer="0.3"/>
  <pageSetup scale="64" orientation="portrait" r:id="rId1"/>
  <headerFooter alignWithMargins="0">
    <oddHeader>&amp;LFFY 2012 Consolidated Application: Phase II Cover Page&amp;R&amp;D</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86"/>
  <sheetViews>
    <sheetView zoomScaleNormal="100" workbookViewId="0">
      <selection activeCell="L34" sqref="L34"/>
    </sheetView>
  </sheetViews>
  <sheetFormatPr defaultColWidth="9.140625" defaultRowHeight="12.75" x14ac:dyDescent="0.2"/>
  <cols>
    <col min="1" max="10" width="15.7109375" style="2" customWidth="1"/>
    <col min="11" max="11" width="15.7109375" style="1" customWidth="1"/>
    <col min="12" max="16384" width="9.140625" style="2"/>
  </cols>
  <sheetData>
    <row r="1" spans="1:11" ht="13.5" customHeight="1" thickTop="1" x14ac:dyDescent="0.2">
      <c r="A1" s="798" t="s">
        <v>134</v>
      </c>
      <c r="B1" s="799"/>
      <c r="C1" s="799"/>
      <c r="D1" s="730" t="s">
        <v>56</v>
      </c>
      <c r="E1" s="731"/>
      <c r="F1" s="731"/>
      <c r="G1" s="731"/>
      <c r="H1" s="731"/>
      <c r="I1" s="731"/>
      <c r="J1" s="731"/>
      <c r="K1" s="700" t="str">
        <f>IF(J85=('1'!H28-'3'!F20),"Your budget is now complete.","The total amount for which you have budgeted does not match the unconsolidated portion of the LEA's Title III, Part A allocation.")</f>
        <v>Your budget is now complete.</v>
      </c>
    </row>
    <row r="2" spans="1:11" ht="12.75" customHeight="1" x14ac:dyDescent="0.2">
      <c r="A2" s="800"/>
      <c r="B2" s="801"/>
      <c r="C2" s="801"/>
      <c r="D2" s="732"/>
      <c r="E2" s="733"/>
      <c r="F2" s="733"/>
      <c r="G2" s="733"/>
      <c r="H2" s="733"/>
      <c r="I2" s="733"/>
      <c r="J2" s="733"/>
      <c r="K2" s="701"/>
    </row>
    <row r="3" spans="1:11" ht="12.75" customHeight="1" x14ac:dyDescent="0.2">
      <c r="A3" s="800"/>
      <c r="B3" s="801"/>
      <c r="C3" s="801"/>
      <c r="D3" s="732"/>
      <c r="E3" s="733"/>
      <c r="F3" s="733"/>
      <c r="G3" s="733"/>
      <c r="H3" s="733"/>
      <c r="I3" s="733"/>
      <c r="J3" s="733"/>
      <c r="K3" s="701"/>
    </row>
    <row r="4" spans="1:11" ht="13.5" customHeight="1" thickBot="1" x14ac:dyDescent="0.25">
      <c r="A4" s="800"/>
      <c r="B4" s="801"/>
      <c r="C4" s="801"/>
      <c r="D4" s="734"/>
      <c r="E4" s="735"/>
      <c r="F4" s="735"/>
      <c r="G4" s="735"/>
      <c r="H4" s="735"/>
      <c r="I4" s="735"/>
      <c r="J4" s="735"/>
      <c r="K4" s="701"/>
    </row>
    <row r="5" spans="1:11" ht="12.75" customHeight="1" x14ac:dyDescent="0.2">
      <c r="A5" s="800"/>
      <c r="B5" s="801"/>
      <c r="C5" s="801"/>
      <c r="D5" s="703" t="s">
        <v>57</v>
      </c>
      <c r="E5" s="703" t="s">
        <v>58</v>
      </c>
      <c r="F5" s="703" t="s">
        <v>136</v>
      </c>
      <c r="G5" s="703" t="s">
        <v>138</v>
      </c>
      <c r="H5" s="703" t="s">
        <v>61</v>
      </c>
      <c r="I5" s="703" t="s">
        <v>115</v>
      </c>
      <c r="J5" s="705" t="s">
        <v>116</v>
      </c>
      <c r="K5" s="701"/>
    </row>
    <row r="6" spans="1:11" ht="12.75" customHeight="1" x14ac:dyDescent="0.2">
      <c r="A6" s="800"/>
      <c r="B6" s="801"/>
      <c r="C6" s="801"/>
      <c r="D6" s="704"/>
      <c r="E6" s="704"/>
      <c r="F6" s="704"/>
      <c r="G6" s="704"/>
      <c r="H6" s="704"/>
      <c r="I6" s="704"/>
      <c r="J6" s="706"/>
      <c r="K6" s="701"/>
    </row>
    <row r="7" spans="1:11" ht="12.75" customHeight="1" x14ac:dyDescent="0.2">
      <c r="A7" s="800"/>
      <c r="B7" s="801"/>
      <c r="C7" s="801"/>
      <c r="D7" s="704"/>
      <c r="E7" s="704"/>
      <c r="F7" s="704"/>
      <c r="G7" s="704"/>
      <c r="H7" s="704"/>
      <c r="I7" s="704"/>
      <c r="J7" s="707"/>
      <c r="K7" s="701"/>
    </row>
    <row r="8" spans="1:11" ht="13.5" customHeight="1" thickBot="1" x14ac:dyDescent="0.25">
      <c r="A8" s="802"/>
      <c r="B8" s="801"/>
      <c r="C8" s="801"/>
      <c r="D8" s="704"/>
      <c r="E8" s="704"/>
      <c r="F8" s="704"/>
      <c r="G8" s="704"/>
      <c r="H8" s="704"/>
      <c r="I8" s="704"/>
      <c r="J8" s="708"/>
      <c r="K8" s="701"/>
    </row>
    <row r="9" spans="1:11" ht="12.75" customHeight="1" x14ac:dyDescent="0.2">
      <c r="A9" s="712" t="s">
        <v>63</v>
      </c>
      <c r="B9" s="715" t="s">
        <v>50</v>
      </c>
      <c r="C9" s="35" t="s">
        <v>127</v>
      </c>
      <c r="D9" s="47">
        <f>SUMIF('17'!$N$14:$N$38,"InstructionEng. Proficiency",'17'!$G$14:$G$38)</f>
        <v>0</v>
      </c>
      <c r="E9" s="48">
        <f>SUMIF('17'!$N$49:$N$73,"InstructionEng. Proficiency",'17'!$G$49:$G$73)</f>
        <v>0</v>
      </c>
      <c r="F9" s="48">
        <f>SUMIF('17'!$N$84:$N$108,"InstructionEng. Proficiency",'17'!$G$84:$G$108)</f>
        <v>0</v>
      </c>
      <c r="G9" s="48">
        <f>SUMIF('17'!$N$119:$N$143,"InstructionEng. Proficiency",'17'!$G$119:$G$143)</f>
        <v>0</v>
      </c>
      <c r="H9" s="48">
        <f>SUMIF('17'!$N$154:$N$178,"InstructionEng. Proficiency",'17'!$G$154:$G$178)</f>
        <v>0</v>
      </c>
      <c r="I9" s="48">
        <f>SUMIF('17'!$N$189:$N$213,"InstructionEng. Proficiency",'17'!$G$189:$G$213)</f>
        <v>0</v>
      </c>
      <c r="J9" s="174">
        <f t="shared" ref="J9:J74" si="0">SUM(D9:I9)</f>
        <v>0</v>
      </c>
      <c r="K9" s="701"/>
    </row>
    <row r="10" spans="1:11" ht="12.75" customHeight="1" x14ac:dyDescent="0.2">
      <c r="A10" s="713"/>
      <c r="B10" s="717"/>
      <c r="C10" s="36" t="s">
        <v>109</v>
      </c>
      <c r="D10" s="49">
        <f>SUMIF('17'!$N$14:$N$38,"InstructionProf. Development",'17'!$G$14:$G$38)</f>
        <v>0</v>
      </c>
      <c r="E10" s="50">
        <f>SUMIF('17'!$N$49:$N$73,"InstructionProf. Development",'17'!$G$49:$G$73)</f>
        <v>0</v>
      </c>
      <c r="F10" s="50">
        <f>SUMIF('17'!$N$84:$N$108,"InstructionProf. Development",'17'!$G$84:$G$108)</f>
        <v>0</v>
      </c>
      <c r="G10" s="50">
        <f>SUMIF('17'!$N$119:$N$143,"InstructionProf. Development",'17'!$G$119:$G$143)</f>
        <v>0</v>
      </c>
      <c r="H10" s="50">
        <f>SUMIF('17'!$N$154:$N$178,"InstructionProf. Development",'17'!$G$154:$G$178)</f>
        <v>0</v>
      </c>
      <c r="I10" s="50">
        <f>SUMIF('17'!$N$189:$N$213,"InstructionProf. Development",'17'!$G$189:$G$213)</f>
        <v>0</v>
      </c>
      <c r="J10" s="175">
        <f t="shared" si="0"/>
        <v>0</v>
      </c>
      <c r="K10" s="701"/>
    </row>
    <row r="11" spans="1:11" ht="12.75" customHeight="1" x14ac:dyDescent="0.2">
      <c r="A11" s="713"/>
      <c r="B11" s="717"/>
      <c r="C11" s="36" t="s">
        <v>128</v>
      </c>
      <c r="D11" s="49">
        <f>SUMIF('17'!$N$14:$N$38,"InstructionObjectives/Strategies",'17'!$G$14:$G$38)</f>
        <v>0</v>
      </c>
      <c r="E11" s="50">
        <f>SUMIF('17'!$N$49:$N$73,"InstructionObjectives/Strategies",'17'!$G$49:$G$73)</f>
        <v>0</v>
      </c>
      <c r="F11" s="50">
        <f>SUMIF('17'!$N$84:$N$108,"InstructionObjectives/Strategies",'17'!$G$84:$G$108)</f>
        <v>0</v>
      </c>
      <c r="G11" s="50">
        <f>SUMIF('17'!$N$119:$N$143,"InstructionObjectives/Strategies",'17'!$G$119:$G$143)</f>
        <v>0</v>
      </c>
      <c r="H11" s="50">
        <f>SUMIF('17'!$N$154:$N$178,"InstructionObjectives/Strategies",'17'!$G$154:$G$178)</f>
        <v>0</v>
      </c>
      <c r="I11" s="50">
        <f>SUMIF('17'!$N$189:$N$213,"InstructionObjectives/Strategies",'17'!$G$189:$G$213)</f>
        <v>0</v>
      </c>
      <c r="J11" s="175">
        <f t="shared" si="0"/>
        <v>0</v>
      </c>
      <c r="K11" s="701"/>
    </row>
    <row r="12" spans="1:11" ht="12.75" customHeight="1" x14ac:dyDescent="0.2">
      <c r="A12" s="713"/>
      <c r="B12" s="717"/>
      <c r="C12" s="36" t="s">
        <v>132</v>
      </c>
      <c r="D12" s="49">
        <f>SUMIF('17'!$N$14:$N$38,"InstructionCurricula/Materials",'17'!$G$14:$G$38)</f>
        <v>0</v>
      </c>
      <c r="E12" s="50">
        <f>SUMIF('17'!$N$49:$N$73,"InstructionCurricula/Materials",'17'!$G$49:$G$73)</f>
        <v>0</v>
      </c>
      <c r="F12" s="50">
        <f>SUMIF('17'!$N$84:$N$108,"InstructionCurricula/Materials",'17'!$G$84:$G$108)</f>
        <v>0</v>
      </c>
      <c r="G12" s="50">
        <f>SUMIF('17'!$N$119:$N$143,"InstructionCurricula/Materials",'17'!$G$119:$G$143)</f>
        <v>0</v>
      </c>
      <c r="H12" s="50">
        <f>SUMIF('17'!$N$154:$N$178,"InstructionCurricula/Materials",'17'!$G$154:$G$178)</f>
        <v>0</v>
      </c>
      <c r="I12" s="50">
        <f>SUMIF('17'!$N$189:$N$213,"InstructionCurricula/Materials",'17'!$G$189:$G$213)</f>
        <v>0</v>
      </c>
      <c r="J12" s="175">
        <f t="shared" si="0"/>
        <v>0</v>
      </c>
      <c r="K12" s="701"/>
    </row>
    <row r="13" spans="1:11" ht="12.75" customHeight="1" x14ac:dyDescent="0.2">
      <c r="A13" s="713"/>
      <c r="B13" s="717"/>
      <c r="C13" s="36" t="s">
        <v>129</v>
      </c>
      <c r="D13" s="49">
        <f>SUMIF('17'!$N$14:$N$38,"InstructionTutorials",'17'!$G$14:$G$38)</f>
        <v>0</v>
      </c>
      <c r="E13" s="50">
        <f>SUMIF('17'!$N$49:$N$73,"InstructionTutorials",'17'!$G$49:$G$73)</f>
        <v>0</v>
      </c>
      <c r="F13" s="50">
        <f>SUMIF('17'!$N$84:$N$108,"InstructionTutorials",'17'!$G$84:$G$108)</f>
        <v>0</v>
      </c>
      <c r="G13" s="50">
        <f>SUMIF('17'!$N$119:$N$143,"InstructionTutorials",'17'!$G$119:$G$143)</f>
        <v>0</v>
      </c>
      <c r="H13" s="50">
        <f>SUMIF('17'!$N$154:$N$178,"InstructionTutorials",'17'!$G$154:$G$178)</f>
        <v>0</v>
      </c>
      <c r="I13" s="50">
        <f>SUMIF('17'!$N$189:$N$213,"InstructionTutorials",'17'!$G$189:$G$213)</f>
        <v>0</v>
      </c>
      <c r="J13" s="175">
        <f t="shared" si="0"/>
        <v>0</v>
      </c>
      <c r="K13" s="701"/>
    </row>
    <row r="14" spans="1:11" ht="12.75" customHeight="1" x14ac:dyDescent="0.2">
      <c r="A14" s="713"/>
      <c r="B14" s="717"/>
      <c r="C14" s="36" t="s">
        <v>130</v>
      </c>
      <c r="D14" s="49">
        <f>SUMIF('17'!$N$14:$N$38,"InstructionLang. Instruction. Prog.",'17'!$G$14:$G$38)</f>
        <v>0</v>
      </c>
      <c r="E14" s="50">
        <f>SUMIF('17'!$N$49:$N$73,"InstructionLang. Instruction. Prog.",'17'!$G$49:$G$73)</f>
        <v>0</v>
      </c>
      <c r="F14" s="50">
        <f>SUMIF('17'!$N$84:$N$108,"InstructionLang. Instruction. Prog.",'17'!$G$84:$G$108)</f>
        <v>0</v>
      </c>
      <c r="G14" s="50">
        <f>SUMIF('17'!$N$119:$N$143,"InstructionLang. Instruction. Prog.",'17'!$G$119:$G$143)</f>
        <v>0</v>
      </c>
      <c r="H14" s="50">
        <f>SUMIF('17'!$N$154:$N$178,"InstructionLang. Instruction. Prog.",'17'!$G$154:$G$178)</f>
        <v>0</v>
      </c>
      <c r="I14" s="50">
        <f>SUMIF('17'!$N$189:$N$213,"InstructionLang. Instruction. Prog.",'17'!$G$189:$G$213)</f>
        <v>0</v>
      </c>
      <c r="J14" s="175">
        <f t="shared" si="0"/>
        <v>0</v>
      </c>
      <c r="K14" s="701"/>
    </row>
    <row r="15" spans="1:11" ht="12.75" customHeight="1" x14ac:dyDescent="0.2">
      <c r="A15" s="713"/>
      <c r="B15" s="717"/>
      <c r="C15" s="36" t="s">
        <v>131</v>
      </c>
      <c r="D15" s="49">
        <f>SUMIF('17'!$N$14:$N$38,"InstructionParent/Community",'17'!$G$14:$G$38)</f>
        <v>0</v>
      </c>
      <c r="E15" s="50">
        <f>SUMIF('17'!$N$49:$N$73,"InstructionParent/Community",'17'!$G$49:$G$73)</f>
        <v>0</v>
      </c>
      <c r="F15" s="50">
        <f>SUMIF('17'!$N$84:$N$108,"InstructionParent/Community",'17'!$G$84:$G$108)</f>
        <v>0</v>
      </c>
      <c r="G15" s="50">
        <f>SUMIF('17'!$N$119:$N$143,"InstructionParent/Community",'17'!$G$119:$G$143)</f>
        <v>0</v>
      </c>
      <c r="H15" s="50">
        <f>SUMIF('17'!$N$154:$N$178,"InstructionParent/Community",'17'!$G$154:$G$178)</f>
        <v>0</v>
      </c>
      <c r="I15" s="50">
        <f>SUMIF('17'!$N$189:$N$213,"InstructionParent/Community",'17'!$G$189:$G$213)</f>
        <v>0</v>
      </c>
      <c r="J15" s="175">
        <f t="shared" si="0"/>
        <v>0</v>
      </c>
      <c r="K15" s="701"/>
    </row>
    <row r="16" spans="1:11" ht="12.75" customHeight="1" x14ac:dyDescent="0.2">
      <c r="A16" s="713"/>
      <c r="B16" s="717"/>
      <c r="C16" s="36" t="s">
        <v>133</v>
      </c>
      <c r="D16" s="49">
        <f>SUMIF('17'!$N$14:$N$38,"InstructionEd. Technology",'17'!$G$14:$G$38)</f>
        <v>0</v>
      </c>
      <c r="E16" s="50">
        <f>SUMIF('17'!$N$49:$N$73,"InstructionEd. Technology",'17'!$G$49:$G$73)</f>
        <v>0</v>
      </c>
      <c r="F16" s="50">
        <f>SUMIF('17'!$N$84:$N$108,"InstructionEd. Technology",'17'!$G$84:$G$108)</f>
        <v>0</v>
      </c>
      <c r="G16" s="50">
        <f>SUMIF('17'!$N$119:$N$143,"InstructionEd. Technology",'17'!$G$119:$G$143)</f>
        <v>0</v>
      </c>
      <c r="H16" s="50">
        <f>SUMIF('17'!$N$154:$N$178,"InstructionEd. Technology",'17'!$G$154:$G$178)</f>
        <v>0</v>
      </c>
      <c r="I16" s="50">
        <f>SUMIF('17'!$N$189:$N$213,"InstructionEd. Technology",'17'!$G$189:$G$213)</f>
        <v>0</v>
      </c>
      <c r="J16" s="175">
        <f t="shared" si="0"/>
        <v>0</v>
      </c>
      <c r="K16" s="701"/>
    </row>
    <row r="17" spans="1:11" ht="12.75" customHeight="1" x14ac:dyDescent="0.2">
      <c r="A17" s="713"/>
      <c r="B17" s="717"/>
      <c r="C17" s="36" t="s">
        <v>108</v>
      </c>
      <c r="D17" s="49">
        <f>SUMIF('17'!$N$14:$N$38,"InstructionEquitable Services",'17'!$G$14:$G$38)</f>
        <v>0</v>
      </c>
      <c r="E17" s="50">
        <f>SUMIF('17'!$N$49:$N$73,"InstructionEquitable Services",'17'!$G$49:$G$73)</f>
        <v>0</v>
      </c>
      <c r="F17" s="50">
        <f>SUMIF('17'!$N$84:$N$108,"InstructionEquitable Services",'17'!$G$84:$G$108)</f>
        <v>0</v>
      </c>
      <c r="G17" s="50">
        <f>SUMIF('17'!$N$119:$N$143,"InstructionEquitable Services",'17'!$G$119:$G$143)</f>
        <v>0</v>
      </c>
      <c r="H17" s="50">
        <f>SUMIF('17'!$N$154:$N$178,"InstructionEquitable Services",'17'!$G$154:$G$178)</f>
        <v>0</v>
      </c>
      <c r="I17" s="50">
        <f>SUMIF('17'!$N$189:$N$213,"InstructionEquitable Services",'17'!$G$189:$G$213)</f>
        <v>0</v>
      </c>
      <c r="J17" s="175">
        <f t="shared" si="0"/>
        <v>0</v>
      </c>
      <c r="K17" s="701"/>
    </row>
    <row r="18" spans="1:11" ht="12.75" customHeight="1" x14ac:dyDescent="0.2">
      <c r="A18" s="713"/>
      <c r="B18" s="717"/>
      <c r="C18" s="36" t="s">
        <v>52</v>
      </c>
      <c r="D18" s="49">
        <f>SUMIF('17'!$N$14:$N$38,"InstructionOther",'17'!$G$14:$G$38)</f>
        <v>0</v>
      </c>
      <c r="E18" s="50">
        <f>SUMIF('17'!$N$49:$N$73,"InstructionOther",'17'!$G$49:$G$73)</f>
        <v>0</v>
      </c>
      <c r="F18" s="50">
        <f>SUMIF('17'!$N$84:$N$108,"InstructionOther",'17'!$G$84:$G$108)</f>
        <v>0</v>
      </c>
      <c r="G18" s="50">
        <f>SUMIF('17'!$N$119:$N$143,"InstructionOther",'17'!$G$119:$G$143)</f>
        <v>0</v>
      </c>
      <c r="H18" s="50">
        <f>SUMIF('17'!$N$154:$N$178,"InstructionOther",'17'!$G$154:$G$178)</f>
        <v>0</v>
      </c>
      <c r="I18" s="50">
        <f>SUMIF('17'!$N$189:$N$213,"InstructionOther",'17'!$G$189:$G$213)</f>
        <v>0</v>
      </c>
      <c r="J18" s="175">
        <f t="shared" si="0"/>
        <v>0</v>
      </c>
      <c r="K18" s="701"/>
    </row>
    <row r="19" spans="1:11" ht="13.5" customHeight="1" thickBot="1" x14ac:dyDescent="0.25">
      <c r="A19" s="713"/>
      <c r="B19" s="763"/>
      <c r="C19" s="37" t="s">
        <v>112</v>
      </c>
      <c r="D19" s="38">
        <f t="shared" ref="D19:I19" si="1">SUM(D9:D18)</f>
        <v>0</v>
      </c>
      <c r="E19" s="38">
        <f t="shared" si="1"/>
        <v>0</v>
      </c>
      <c r="F19" s="38">
        <f t="shared" si="1"/>
        <v>0</v>
      </c>
      <c r="G19" s="38">
        <f t="shared" si="1"/>
        <v>0</v>
      </c>
      <c r="H19" s="38">
        <f t="shared" si="1"/>
        <v>0</v>
      </c>
      <c r="I19" s="38">
        <f t="shared" si="1"/>
        <v>0</v>
      </c>
      <c r="J19" s="41">
        <f t="shared" si="0"/>
        <v>0</v>
      </c>
      <c r="K19" s="701"/>
    </row>
    <row r="20" spans="1:11" ht="12.75" customHeight="1" x14ac:dyDescent="0.2">
      <c r="A20" s="713"/>
      <c r="B20" s="715" t="s">
        <v>51</v>
      </c>
      <c r="C20" s="35" t="s">
        <v>127</v>
      </c>
      <c r="D20" s="47">
        <f>SUMIF('17'!$N$14:$N$38,"Support ServicesEng. Proficiency",'17'!$G$14:$G$38)</f>
        <v>0</v>
      </c>
      <c r="E20" s="48">
        <f>SUMIF('17'!$N$49:$N$73,"Support ServicesEng. Proficiency",'17'!$G$49:$G$73)</f>
        <v>0</v>
      </c>
      <c r="F20" s="48">
        <f>SUMIF('17'!$N$84:$N$108,"Support ServicesEng. Proficiency",'17'!$G$84:$G$108)</f>
        <v>0</v>
      </c>
      <c r="G20" s="48">
        <f>SUMIF('17'!$N$119:$N$143,"Support ServicesEng. Proficiency",'17'!$G$119:$G$143)</f>
        <v>0</v>
      </c>
      <c r="H20" s="48">
        <f>SUMIF('17'!$N$154:$N$178,"Support ServicesEng. Proficiency",'17'!$G$154:$G$178)</f>
        <v>0</v>
      </c>
      <c r="I20" s="48">
        <f>SUMIF('17'!$N$189:$N$213,"Support ServicesEng. Proficiency",'17'!$G$189:$G$213)</f>
        <v>0</v>
      </c>
      <c r="J20" s="174">
        <f t="shared" si="0"/>
        <v>0</v>
      </c>
      <c r="K20" s="701"/>
    </row>
    <row r="21" spans="1:11" ht="12.75" customHeight="1" x14ac:dyDescent="0.2">
      <c r="A21" s="713"/>
      <c r="B21" s="717"/>
      <c r="C21" s="36" t="s">
        <v>109</v>
      </c>
      <c r="D21" s="49">
        <f>SUMIF('17'!$N$14:$N$38,"Support ServicesProf. Development",'17'!$G$14:$G$38)</f>
        <v>0</v>
      </c>
      <c r="E21" s="50">
        <f>SUMIF('17'!$N$49:$N$73,"Support ServicesProf. Development",'17'!$G$49:$G$73)</f>
        <v>0</v>
      </c>
      <c r="F21" s="50">
        <f>SUMIF('17'!$N$84:$N$108,"Support ServicesProf. Development",'17'!$G$84:$G$108)</f>
        <v>0</v>
      </c>
      <c r="G21" s="50">
        <f>SUMIF('17'!$N$119:$N$143,"Support ServicesProf. Development",'17'!$G$119:$G$143)</f>
        <v>0</v>
      </c>
      <c r="H21" s="50">
        <f>SUMIF('17'!$N$154:$N$178,"Support ServicesProf. Development",'17'!$G$154:$G$178)</f>
        <v>0</v>
      </c>
      <c r="I21" s="50">
        <f>SUMIF('17'!$N$189:$N$213,"Support ServicesProf. Development",'17'!$G$189:$G$213)</f>
        <v>0</v>
      </c>
      <c r="J21" s="175">
        <f t="shared" si="0"/>
        <v>0</v>
      </c>
      <c r="K21" s="701"/>
    </row>
    <row r="22" spans="1:11" ht="12.75" customHeight="1" x14ac:dyDescent="0.2">
      <c r="A22" s="713"/>
      <c r="B22" s="717"/>
      <c r="C22" s="36" t="s">
        <v>128</v>
      </c>
      <c r="D22" s="49">
        <f>SUMIF('17'!$N$14:$N$38,"Support ServicesObjectives/Strategies",'17'!$G$14:$G$38)</f>
        <v>0</v>
      </c>
      <c r="E22" s="50">
        <f>SUMIF('17'!$N$49:$N$73,"Support ServicesObjectives/Strategies",'17'!$G$49:$G$73)</f>
        <v>0</v>
      </c>
      <c r="F22" s="50">
        <f>SUMIF('17'!$N$84:$N$108,"Support ServicesObjectives/Strategies",'17'!$G$84:$G$108)</f>
        <v>0</v>
      </c>
      <c r="G22" s="50">
        <f>SUMIF('17'!$N$119:$N$143,"Support ServicesObjectives/Strategies",'17'!$G$119:$G$143)</f>
        <v>0</v>
      </c>
      <c r="H22" s="50">
        <f>SUMIF('17'!$N$154:$N$178,"Support ServicesObjectives/Strategies",'17'!$G$154:$G$178)</f>
        <v>0</v>
      </c>
      <c r="I22" s="50">
        <f>SUMIF('17'!$N$189:$N$213,"Support ServicesObjectives/Strategies",'17'!$G$189:$G$213)</f>
        <v>0</v>
      </c>
      <c r="J22" s="175">
        <f t="shared" si="0"/>
        <v>0</v>
      </c>
      <c r="K22" s="701"/>
    </row>
    <row r="23" spans="1:11" ht="12.75" customHeight="1" x14ac:dyDescent="0.2">
      <c r="A23" s="713"/>
      <c r="B23" s="717"/>
      <c r="C23" s="36" t="s">
        <v>132</v>
      </c>
      <c r="D23" s="49">
        <f>SUMIF('17'!$N$14:$N$38,"Support ServicesCurricula/Materials",'17'!$G$14:$G$38)</f>
        <v>0</v>
      </c>
      <c r="E23" s="50">
        <f>SUMIF('17'!$N$49:$N$73,"Support ServicesCurricula/Materials",'17'!$G$49:$G$73)</f>
        <v>0</v>
      </c>
      <c r="F23" s="50">
        <f>SUMIF('17'!$N$84:$N$108,"Support ServicesCurricula/Materials",'17'!$G$84:$G$108)</f>
        <v>0</v>
      </c>
      <c r="G23" s="50">
        <f>SUMIF('17'!$N$119:$N$143,"Support ServicesCurricula/Materials",'17'!$G$119:$G$143)</f>
        <v>0</v>
      </c>
      <c r="H23" s="50">
        <f>SUMIF('17'!$N$154:$N$178,"Support ServicesCurricula/Materials",'17'!$G$154:$G$178)</f>
        <v>0</v>
      </c>
      <c r="I23" s="50">
        <f>SUMIF('17'!$N$189:$N$213,"Support ServicesCurricula/Materials",'17'!$G$189:$G$213)</f>
        <v>0</v>
      </c>
      <c r="J23" s="175">
        <f t="shared" si="0"/>
        <v>0</v>
      </c>
      <c r="K23" s="701"/>
    </row>
    <row r="24" spans="1:11" ht="12.75" customHeight="1" x14ac:dyDescent="0.2">
      <c r="A24" s="713"/>
      <c r="B24" s="717"/>
      <c r="C24" s="36" t="s">
        <v>129</v>
      </c>
      <c r="D24" s="49">
        <f>SUMIF('17'!$N$14:$N$38,"Support ServicesTutorials",'17'!$G$14:$G$38)</f>
        <v>0</v>
      </c>
      <c r="E24" s="50">
        <f>SUMIF('17'!$N$49:$N$73,"Support ServicesTutorials",'17'!$G$49:$G$73)</f>
        <v>0</v>
      </c>
      <c r="F24" s="50">
        <f>SUMIF('17'!$N$84:$N$108,"Support ServicesTutorials",'17'!$G$84:$G$108)</f>
        <v>0</v>
      </c>
      <c r="G24" s="50">
        <f>SUMIF('17'!$N$119:$N$143,"Support ServicesTutorials",'17'!$G$119:$G$143)</f>
        <v>0</v>
      </c>
      <c r="H24" s="50">
        <f>SUMIF('17'!$N$154:$N$178,"Support ServicesTutorials",'17'!$G$154:$G$178)</f>
        <v>0</v>
      </c>
      <c r="I24" s="50">
        <f>SUMIF('17'!$N$189:$N$213,"Support ServicesTutorials",'17'!$G$189:$G$213)</f>
        <v>0</v>
      </c>
      <c r="J24" s="175">
        <f t="shared" si="0"/>
        <v>0</v>
      </c>
      <c r="K24" s="701"/>
    </row>
    <row r="25" spans="1:11" ht="12.75" customHeight="1" x14ac:dyDescent="0.2">
      <c r="A25" s="713"/>
      <c r="B25" s="717"/>
      <c r="C25" s="36" t="s">
        <v>130</v>
      </c>
      <c r="D25" s="49">
        <f>SUMIF('17'!$N$14:$N$38,"Support ServicesLang. Instruction. Prog.",'17'!$G$14:$G$38)</f>
        <v>0</v>
      </c>
      <c r="E25" s="50">
        <f>SUMIF('17'!$N$49:$N$73,"Support ServicesLang. Instruction. Prog.",'17'!$G$49:$G$73)</f>
        <v>0</v>
      </c>
      <c r="F25" s="50">
        <f>SUMIF('17'!$N$84:$N$108,"Support ServicesLang. Instruction. Prog.",'17'!$G$84:$G$108)</f>
        <v>0</v>
      </c>
      <c r="G25" s="50">
        <f>SUMIF('17'!$N$119:$N$143,"Support ServicesLang. Instruction. Prog.",'17'!$G$119:$G$143)</f>
        <v>0</v>
      </c>
      <c r="H25" s="50">
        <f>SUMIF('17'!$N$154:$N$178,"Support ServicesLang. Instruction. Prog.",'17'!$G$154:$G$178)</f>
        <v>0</v>
      </c>
      <c r="I25" s="50">
        <f>SUMIF('17'!$N$189:$N$213,"Support ServicesLang. Instruction. Prog.",'17'!$G$189:$G$213)</f>
        <v>0</v>
      </c>
      <c r="J25" s="175">
        <f t="shared" si="0"/>
        <v>0</v>
      </c>
      <c r="K25" s="701"/>
    </row>
    <row r="26" spans="1:11" ht="12.75" customHeight="1" x14ac:dyDescent="0.2">
      <c r="A26" s="713"/>
      <c r="B26" s="717"/>
      <c r="C26" s="36" t="s">
        <v>131</v>
      </c>
      <c r="D26" s="49">
        <f>SUMIF('17'!$N$14:$N$38,"Support ServicesParent/Community",'17'!$G$14:$G$38)</f>
        <v>0</v>
      </c>
      <c r="E26" s="50">
        <f>SUMIF('17'!$N$49:$N$73,"Support ServicesParent/Community",'17'!$G$49:$G$73)</f>
        <v>0</v>
      </c>
      <c r="F26" s="50">
        <f>SUMIF('17'!$N$84:$N$108,"Support ServicesParent/Community",'17'!$G$84:$G$108)</f>
        <v>0</v>
      </c>
      <c r="G26" s="50">
        <f>SUMIF('17'!$N$119:$N$143,"Support ServicesParent/Community",'17'!$G$119:$G$143)</f>
        <v>0</v>
      </c>
      <c r="H26" s="50">
        <f>SUMIF('17'!$N$154:$N$178,"Support ServicesParent/Community",'17'!$G$154:$G$178)</f>
        <v>0</v>
      </c>
      <c r="I26" s="50">
        <f>SUMIF('17'!$N$189:$N$213,"Support ServicesParent/Community",'17'!$G$189:$G$213)</f>
        <v>0</v>
      </c>
      <c r="J26" s="175">
        <f t="shared" si="0"/>
        <v>0</v>
      </c>
      <c r="K26" s="701"/>
    </row>
    <row r="27" spans="1:11" ht="12.75" customHeight="1" x14ac:dyDescent="0.2">
      <c r="A27" s="713"/>
      <c r="B27" s="717"/>
      <c r="C27" s="36" t="s">
        <v>133</v>
      </c>
      <c r="D27" s="49">
        <f>SUMIF('17'!$N$14:$N$38,"Support ServicesEd. Technology",'17'!$G$14:$G$38)</f>
        <v>0</v>
      </c>
      <c r="E27" s="50">
        <f>SUMIF('17'!$N$49:$N$73,"Support ServicesEd. Technology",'17'!$G$49:$G$73)</f>
        <v>0</v>
      </c>
      <c r="F27" s="50">
        <f>SUMIF('17'!$N$84:$N$108,"Support ServicesEd. Technology",'17'!$G$84:$G$108)</f>
        <v>0</v>
      </c>
      <c r="G27" s="50">
        <f>SUMIF('17'!$N$119:$N$143,"Support ServicesEd. Technology",'17'!$G$119:$G$143)</f>
        <v>0</v>
      </c>
      <c r="H27" s="50">
        <f>SUMIF('17'!$N$154:$N$178,"Support ServicesEd. Technology",'17'!$G$154:$G$178)</f>
        <v>0</v>
      </c>
      <c r="I27" s="50">
        <f>SUMIF('17'!$N$189:$N$213,"Support ServicesEd. Technology",'17'!$G$189:$G$213)</f>
        <v>0</v>
      </c>
      <c r="J27" s="175">
        <f t="shared" si="0"/>
        <v>0</v>
      </c>
      <c r="K27" s="701"/>
    </row>
    <row r="28" spans="1:11" ht="12.75" customHeight="1" x14ac:dyDescent="0.2">
      <c r="A28" s="713"/>
      <c r="B28" s="717"/>
      <c r="C28" s="36" t="s">
        <v>108</v>
      </c>
      <c r="D28" s="49">
        <f>SUMIF('17'!$N$14:$N$38,"Support ServicesEquitable Services",'17'!$G$14:$G$38)</f>
        <v>0</v>
      </c>
      <c r="E28" s="50">
        <f>SUMIF('17'!$N$49:$N$73,"Support ServicesEquitable Services",'17'!$G$49:$G$73)</f>
        <v>0</v>
      </c>
      <c r="F28" s="50">
        <f>SUMIF('17'!$N$84:$N$108,"Support ServicesEquitable Services",'17'!$G$84:$G$108)</f>
        <v>0</v>
      </c>
      <c r="G28" s="50">
        <f>SUMIF('17'!$N$119:$N$143,"Support ServicesEquitable Services",'17'!$G$119:$G$143)</f>
        <v>0</v>
      </c>
      <c r="H28" s="50">
        <f>SUMIF('17'!$N$154:$N$178,"Support ServicesEquitable Services",'17'!$G$154:$G$178)</f>
        <v>0</v>
      </c>
      <c r="I28" s="50">
        <f>SUMIF('17'!$N$189:$N$213,"Support ServicesEquitable Services",'17'!$G$189:$G$213)</f>
        <v>0</v>
      </c>
      <c r="J28" s="175">
        <f t="shared" si="0"/>
        <v>0</v>
      </c>
      <c r="K28" s="701"/>
    </row>
    <row r="29" spans="1:11" ht="12.75" customHeight="1" x14ac:dyDescent="0.2">
      <c r="A29" s="713"/>
      <c r="B29" s="717"/>
      <c r="C29" s="36" t="s">
        <v>52</v>
      </c>
      <c r="D29" s="49">
        <f>SUMIF('17'!$N$14:$N$38,"Support ServicesOther",'17'!$G$14:$G$38)</f>
        <v>0</v>
      </c>
      <c r="E29" s="50">
        <f>SUMIF('17'!$N$49:$N$73,"Support ServicesOther",'17'!$G$49:$G$73)</f>
        <v>0</v>
      </c>
      <c r="F29" s="50">
        <f>SUMIF('17'!$N$84:$N$108,"Support ServicesOther",'17'!$G$84:$G$108)</f>
        <v>0</v>
      </c>
      <c r="G29" s="50">
        <f>SUMIF('17'!$N$119:$N$143,"Support ServicesOther",'17'!$G$119:$G$143)</f>
        <v>0</v>
      </c>
      <c r="H29" s="50">
        <f>SUMIF('17'!$N$154:$N$178,"Support ServicesOther",'17'!$G$154:$G$178)</f>
        <v>0</v>
      </c>
      <c r="I29" s="50">
        <f>SUMIF('17'!$N$189:$N$213,"Support ServicesOther",'17'!$G$189:$G$213)</f>
        <v>0</v>
      </c>
      <c r="J29" s="175">
        <f t="shared" si="0"/>
        <v>0</v>
      </c>
      <c r="K29" s="701"/>
    </row>
    <row r="30" spans="1:11" ht="13.5" customHeight="1" thickBot="1" x14ac:dyDescent="0.25">
      <c r="A30" s="713"/>
      <c r="B30" s="763"/>
      <c r="C30" s="37" t="s">
        <v>112</v>
      </c>
      <c r="D30" s="38">
        <f t="shared" ref="D30:I30" si="2">SUM(D20:D29)</f>
        <v>0</v>
      </c>
      <c r="E30" s="38">
        <f t="shared" si="2"/>
        <v>0</v>
      </c>
      <c r="F30" s="38">
        <f t="shared" si="2"/>
        <v>0</v>
      </c>
      <c r="G30" s="38">
        <f t="shared" si="2"/>
        <v>0</v>
      </c>
      <c r="H30" s="38">
        <f t="shared" si="2"/>
        <v>0</v>
      </c>
      <c r="I30" s="38">
        <f t="shared" si="2"/>
        <v>0</v>
      </c>
      <c r="J30" s="41">
        <f t="shared" si="0"/>
        <v>0</v>
      </c>
      <c r="K30" s="701"/>
    </row>
    <row r="31" spans="1:11" ht="12.75" customHeight="1" x14ac:dyDescent="0.2">
      <c r="A31" s="713"/>
      <c r="B31" s="715" t="s">
        <v>94</v>
      </c>
      <c r="C31" s="35" t="s">
        <v>127</v>
      </c>
      <c r="D31" s="47">
        <f>SUMIF('17'!$N$14:$N$38,"AdministrationEng. Proficiency",'17'!$G$14:$G$38)</f>
        <v>0</v>
      </c>
      <c r="E31" s="48">
        <f>SUMIF('17'!$N$49:$N$73,"AdministrationEng. Proficiency",'17'!$G$49:$G$73)</f>
        <v>0</v>
      </c>
      <c r="F31" s="48">
        <f>SUMIF('17'!$N$84:$N$108,"AdministrationEng. Proficiency",'17'!$G$84:$G$108)</f>
        <v>0</v>
      </c>
      <c r="G31" s="48">
        <f>SUMIF('17'!$N$119:$N$143,"AdministrationEng. Proficiency",'17'!$G$119:$G$143)</f>
        <v>0</v>
      </c>
      <c r="H31" s="48">
        <f>SUMIF('17'!$N$154:$N$178,"AdministrationEng. Proficiency",'17'!$G$154:$G$178)</f>
        <v>0</v>
      </c>
      <c r="I31" s="48">
        <f>SUMIF('17'!$N$189:$N$213,"AdministrationEng. Proficiency",'17'!$G$189:$G$213)</f>
        <v>0</v>
      </c>
      <c r="J31" s="174">
        <f t="shared" si="0"/>
        <v>0</v>
      </c>
      <c r="K31" s="701"/>
    </row>
    <row r="32" spans="1:11" ht="12.75" customHeight="1" x14ac:dyDescent="0.2">
      <c r="A32" s="713"/>
      <c r="B32" s="717"/>
      <c r="C32" s="36" t="s">
        <v>109</v>
      </c>
      <c r="D32" s="49">
        <f>SUMIF('17'!$N$14:$N$38,"AdministrationProf. Development",'17'!$G$14:$G$38)</f>
        <v>0</v>
      </c>
      <c r="E32" s="50">
        <f>SUMIF('17'!$N$49:$N$73,"AdministrationProf. Development",'17'!$G$49:$G$73)</f>
        <v>0</v>
      </c>
      <c r="F32" s="50">
        <f>SUMIF('17'!$N$84:$N$108,"AdministrationProf. Development",'17'!$G$84:$G$108)</f>
        <v>0</v>
      </c>
      <c r="G32" s="50">
        <f>SUMIF('17'!$N$119:$N$143,"AdministrationProf. Development",'17'!$G$119:$G$143)</f>
        <v>0</v>
      </c>
      <c r="H32" s="50">
        <f>SUMIF('17'!$N$154:$N$178,"AdministrationProf. Development",'17'!$G$154:$G$178)</f>
        <v>0</v>
      </c>
      <c r="I32" s="50">
        <f>SUMIF('17'!$N$189:$N$213,"AdministrationProf. Development",'17'!$G$189:$G$213)</f>
        <v>0</v>
      </c>
      <c r="J32" s="175">
        <f t="shared" si="0"/>
        <v>0</v>
      </c>
      <c r="K32" s="701"/>
    </row>
    <row r="33" spans="1:11" ht="12.75" customHeight="1" x14ac:dyDescent="0.2">
      <c r="A33" s="713"/>
      <c r="B33" s="717"/>
      <c r="C33" s="36" t="s">
        <v>128</v>
      </c>
      <c r="D33" s="49">
        <f>SUMIF('17'!$N$14:$N$38,"AdministrationObjectives/Strategies",'17'!$G$14:$G$38)</f>
        <v>0</v>
      </c>
      <c r="E33" s="50">
        <f>SUMIF('17'!$N$49:$N$73,"AdministrationObjectives/Strategies",'17'!$G$49:$G$73)</f>
        <v>0</v>
      </c>
      <c r="F33" s="50">
        <f>SUMIF('17'!$N$84:$N$108,"AdministrationObjectives/Strategies",'17'!$G$84:$G$108)</f>
        <v>0</v>
      </c>
      <c r="G33" s="50">
        <f>SUMIF('17'!$N$119:$N$143,"AdministrationObjectives/Strategies",'17'!$G$119:$G$143)</f>
        <v>0</v>
      </c>
      <c r="H33" s="50">
        <f>SUMIF('17'!$N$154:$N$178,"AdministrationObjectives/Strategies",'17'!$G$154:$G$178)</f>
        <v>0</v>
      </c>
      <c r="I33" s="50">
        <f>SUMIF('17'!$N$189:$N$213,"AdministrationObjectives/Strategies",'17'!$G$189:$G$213)</f>
        <v>0</v>
      </c>
      <c r="J33" s="175">
        <f t="shared" si="0"/>
        <v>0</v>
      </c>
      <c r="K33" s="701"/>
    </row>
    <row r="34" spans="1:11" ht="12.75" customHeight="1" x14ac:dyDescent="0.2">
      <c r="A34" s="713"/>
      <c r="B34" s="717"/>
      <c r="C34" s="36" t="s">
        <v>132</v>
      </c>
      <c r="D34" s="49">
        <f>SUMIF('17'!$N$14:$N$38,"AdministrationCurricula/Materials",'17'!$G$14:$G$38)</f>
        <v>0</v>
      </c>
      <c r="E34" s="50">
        <f>SUMIF('17'!$N$49:$N$73,"AdministrationCurricula/Materials",'17'!$G$49:$G$73)</f>
        <v>0</v>
      </c>
      <c r="F34" s="50">
        <f>SUMIF('17'!$N$84:$N$108,"AdministrationCurricula/Materials",'17'!$G$84:$G$108)</f>
        <v>0</v>
      </c>
      <c r="G34" s="50">
        <f>SUMIF('17'!$N$119:$N$143,"AdministrationCurricula/Materials",'17'!$G$119:$G$143)</f>
        <v>0</v>
      </c>
      <c r="H34" s="50">
        <f>SUMIF('17'!$N$154:$N$178,"AdministrationCurricula/Materials",'17'!$G$154:$G$178)</f>
        <v>0</v>
      </c>
      <c r="I34" s="50">
        <f>SUMIF('17'!$N$189:$N$213,"AdministrationCurricula/Materials",'17'!$G$189:$G$213)</f>
        <v>0</v>
      </c>
      <c r="J34" s="175">
        <f t="shared" si="0"/>
        <v>0</v>
      </c>
      <c r="K34" s="701"/>
    </row>
    <row r="35" spans="1:11" ht="12.75" customHeight="1" x14ac:dyDescent="0.2">
      <c r="A35" s="713"/>
      <c r="B35" s="717"/>
      <c r="C35" s="36" t="s">
        <v>129</v>
      </c>
      <c r="D35" s="49">
        <f>SUMIF('17'!$N$14:$N$38,"AdministrationTutorials",'17'!$G$14:$G$38)</f>
        <v>0</v>
      </c>
      <c r="E35" s="50">
        <f>SUMIF('17'!$N$49:$N$73,"AdministrationTutorials",'17'!$G$49:$G$73)</f>
        <v>0</v>
      </c>
      <c r="F35" s="50">
        <f>SUMIF('17'!$N$84:$N$108,"AdministrationTutorials",'17'!$G$84:$G$108)</f>
        <v>0</v>
      </c>
      <c r="G35" s="50">
        <f>SUMIF('17'!$N$119:$N$143,"AdministrationTutorials",'17'!$G$119:$G$143)</f>
        <v>0</v>
      </c>
      <c r="H35" s="50">
        <f>SUMIF('17'!$N$154:$N$178,"AdministrationTutorials",'17'!$G$154:$G$178)</f>
        <v>0</v>
      </c>
      <c r="I35" s="50">
        <f>SUMIF('17'!$N$189:$N$213,"AdministrationTutorials",'17'!$G$189:$G$213)</f>
        <v>0</v>
      </c>
      <c r="J35" s="175">
        <f t="shared" si="0"/>
        <v>0</v>
      </c>
      <c r="K35" s="701"/>
    </row>
    <row r="36" spans="1:11" ht="12.75" customHeight="1" x14ac:dyDescent="0.2">
      <c r="A36" s="713"/>
      <c r="B36" s="717"/>
      <c r="C36" s="36" t="s">
        <v>130</v>
      </c>
      <c r="D36" s="49">
        <f>SUMIF('17'!$N$14:$N$38,"AdministrationLang. Instruction. Prog.",'17'!$G$14:$G$38)</f>
        <v>0</v>
      </c>
      <c r="E36" s="50">
        <f>SUMIF('17'!$N$49:$N$73,"AdministrationLang. Instruction. Prog.",'17'!$G$49:$G$73)</f>
        <v>0</v>
      </c>
      <c r="F36" s="50">
        <f>SUMIF('17'!$N$84:$N$108,"AdministrationLang. Instruction. Prog.",'17'!$G$84:$G$108)</f>
        <v>0</v>
      </c>
      <c r="G36" s="50">
        <f>SUMIF('17'!$N$119:$N$143,"AdministrationLang. Instruction. Prog.",'17'!$G$119:$G$143)</f>
        <v>0</v>
      </c>
      <c r="H36" s="50">
        <f>SUMIF('17'!$N$154:$N$178,"AdministrationLang. Instruction. Prog.",'17'!$G$154:$G$178)</f>
        <v>0</v>
      </c>
      <c r="I36" s="50">
        <f>SUMIF('17'!$N$189:$N$213,"AdministrationLang. Instruction. Prog.",'17'!$G$189:$G$213)</f>
        <v>0</v>
      </c>
      <c r="J36" s="175">
        <f t="shared" si="0"/>
        <v>0</v>
      </c>
      <c r="K36" s="701"/>
    </row>
    <row r="37" spans="1:11" ht="12.75" customHeight="1" x14ac:dyDescent="0.2">
      <c r="A37" s="713"/>
      <c r="B37" s="717"/>
      <c r="C37" s="36" t="s">
        <v>131</v>
      </c>
      <c r="D37" s="49">
        <f>SUMIF('17'!$N$14:$N$38,"AdministrationParent/Community",'17'!$G$14:$G$38)</f>
        <v>0</v>
      </c>
      <c r="E37" s="50">
        <f>SUMIF('17'!$N$49:$N$73,"AdministrationParent/Community",'17'!$G$49:$G$73)</f>
        <v>0</v>
      </c>
      <c r="F37" s="50">
        <f>SUMIF('17'!$N$84:$N$108,"AdministrationParent/Community",'17'!$G$84:$G$108)</f>
        <v>0</v>
      </c>
      <c r="G37" s="50">
        <f>SUMIF('17'!$N$119:$N$143,"AdministrationParent/Community",'17'!$G$119:$G$143)</f>
        <v>0</v>
      </c>
      <c r="H37" s="50">
        <f>SUMIF('17'!$N$154:$N$178,"AdministrationParent/Community",'17'!$G$154:$G$178)</f>
        <v>0</v>
      </c>
      <c r="I37" s="50">
        <f>SUMIF('17'!$N$189:$N$213,"AdministrationParent/Community",'17'!$G$189:$G$213)</f>
        <v>0</v>
      </c>
      <c r="J37" s="175">
        <f t="shared" si="0"/>
        <v>0</v>
      </c>
      <c r="K37" s="701"/>
    </row>
    <row r="38" spans="1:11" ht="12.75" customHeight="1" x14ac:dyDescent="0.2">
      <c r="A38" s="713"/>
      <c r="B38" s="717"/>
      <c r="C38" s="36" t="s">
        <v>133</v>
      </c>
      <c r="D38" s="49">
        <f>SUMIF('17'!$N$14:$N$38,"AdministrationEd. Technology",'17'!$G$14:$G$38)</f>
        <v>0</v>
      </c>
      <c r="E38" s="50">
        <f>SUMIF('17'!$N$49:$N$73,"AdministrationEd. Technology",'17'!$G$49:$G$73)</f>
        <v>0</v>
      </c>
      <c r="F38" s="50">
        <f>SUMIF('17'!$N$84:$N$108,"AdministrationEd. Technology",'17'!$G$84:$G$108)</f>
        <v>0</v>
      </c>
      <c r="G38" s="50">
        <f>SUMIF('17'!$N$119:$N$143,"AdministrationEd. Technology",'17'!$G$119:$G$143)</f>
        <v>0</v>
      </c>
      <c r="H38" s="50">
        <f>SUMIF('17'!$N$154:$N$178,"AdministrationEd. Technology",'17'!$G$154:$G$178)</f>
        <v>0</v>
      </c>
      <c r="I38" s="50">
        <f>SUMIF('17'!$N$189:$N$213,"AdministrationEd. Technology",'17'!$G$189:$G$213)</f>
        <v>0</v>
      </c>
      <c r="J38" s="175">
        <f t="shared" si="0"/>
        <v>0</v>
      </c>
      <c r="K38" s="701"/>
    </row>
    <row r="39" spans="1:11" ht="12.75" customHeight="1" x14ac:dyDescent="0.2">
      <c r="A39" s="713"/>
      <c r="B39" s="717"/>
      <c r="C39" s="36" t="s">
        <v>108</v>
      </c>
      <c r="D39" s="49">
        <f>SUMIF('17'!$N$14:$N$38,"AdministrationEquitable Services",'17'!$G$14:$G$38)</f>
        <v>0</v>
      </c>
      <c r="E39" s="50">
        <f>SUMIF('17'!$N$49:$N$73,"AdministrationEquitable Services",'17'!$G$49:$G$73)</f>
        <v>0</v>
      </c>
      <c r="F39" s="50">
        <f>SUMIF('17'!$N$84:$N$108,"AdministrationEquitable Services",'17'!$G$84:$G$108)</f>
        <v>0</v>
      </c>
      <c r="G39" s="50">
        <f>SUMIF('17'!$N$119:$N$143,"AdministrationEquitable Services",'17'!$G$119:$G$143)</f>
        <v>0</v>
      </c>
      <c r="H39" s="50">
        <f>SUMIF('17'!$N$154:$N$178,"AdministrationEquitable Services",'17'!$G$154:$G$178)</f>
        <v>0</v>
      </c>
      <c r="I39" s="50">
        <f>SUMIF('17'!$N$189:$N$213,"AdministrationEquitable Services",'17'!$G$189:$G$213)</f>
        <v>0</v>
      </c>
      <c r="J39" s="175">
        <f t="shared" si="0"/>
        <v>0</v>
      </c>
      <c r="K39" s="701"/>
    </row>
    <row r="40" spans="1:11" ht="12.75" customHeight="1" x14ac:dyDescent="0.2">
      <c r="A40" s="713"/>
      <c r="B40" s="717"/>
      <c r="C40" s="36" t="s">
        <v>52</v>
      </c>
      <c r="D40" s="49">
        <f>SUMIF('17'!$N$14:$N$38,"AdministrationOther",'17'!$G$14:$G$38)</f>
        <v>0</v>
      </c>
      <c r="E40" s="50">
        <f>SUMIF('17'!$N$49:$N$73,"AdministrationOther",'17'!$G$49:$G$73)</f>
        <v>0</v>
      </c>
      <c r="F40" s="50">
        <f>SUMIF('17'!$N$84:$N$108,"AdministrationOther",'17'!$G$84:$G$108)</f>
        <v>0</v>
      </c>
      <c r="G40" s="50">
        <f>SUMIF('17'!$N$119:$N$143,"AdministrationOther",'17'!$G$119:$G$143)</f>
        <v>0</v>
      </c>
      <c r="H40" s="50">
        <f>SUMIF('17'!$N$154:$N$178,"AdministrationOther",'17'!$G$154:$G$178)</f>
        <v>0</v>
      </c>
      <c r="I40" s="50">
        <f>SUMIF('17'!$N$189:$N$213,"AdministrationOther",'17'!$G$189:$G$213)</f>
        <v>0</v>
      </c>
      <c r="J40" s="175">
        <f t="shared" si="0"/>
        <v>0</v>
      </c>
      <c r="K40" s="701"/>
    </row>
    <row r="41" spans="1:11" ht="13.5" customHeight="1" thickBot="1" x14ac:dyDescent="0.25">
      <c r="A41" s="713"/>
      <c r="B41" s="763"/>
      <c r="C41" s="37" t="s">
        <v>112</v>
      </c>
      <c r="D41" s="38">
        <f t="shared" ref="D41:I41" si="3">SUM(D31:D40)</f>
        <v>0</v>
      </c>
      <c r="E41" s="38">
        <f t="shared" si="3"/>
        <v>0</v>
      </c>
      <c r="F41" s="38">
        <f t="shared" si="3"/>
        <v>0</v>
      </c>
      <c r="G41" s="38">
        <f t="shared" si="3"/>
        <v>0</v>
      </c>
      <c r="H41" s="38">
        <f t="shared" si="3"/>
        <v>0</v>
      </c>
      <c r="I41" s="38">
        <f t="shared" si="3"/>
        <v>0</v>
      </c>
      <c r="J41" s="41">
        <f t="shared" si="0"/>
        <v>0</v>
      </c>
      <c r="K41" s="701"/>
    </row>
    <row r="42" spans="1:11" ht="12.75" customHeight="1" x14ac:dyDescent="0.2">
      <c r="A42" s="713"/>
      <c r="B42" s="715" t="s">
        <v>90</v>
      </c>
      <c r="C42" s="35" t="s">
        <v>127</v>
      </c>
      <c r="D42" s="47">
        <f>SUMIF('17'!$N$14:$N$38,"Operations &amp; MaintenanceEng. Proficiency",'17'!$G$14:$G$38)</f>
        <v>0</v>
      </c>
      <c r="E42" s="48">
        <f>SUMIF('17'!$N$49:$N$73,"Operations &amp; MaintenanceEng. Proficiency",'17'!$G$49:$G$73)</f>
        <v>0</v>
      </c>
      <c r="F42" s="48">
        <f>SUMIF('17'!$N$84:$N$108,"Operations &amp; MaintenanceEng. Proficiency",'17'!$G$84:$G$108)</f>
        <v>0</v>
      </c>
      <c r="G42" s="48">
        <f>SUMIF('17'!$N$119:$N$143,"Operations &amp; MaintenanceEng. Proficiency",'17'!$G$119:$G$143)</f>
        <v>0</v>
      </c>
      <c r="H42" s="48">
        <f>SUMIF('17'!$N$154:$N$178,"Operations &amp; MaintenanceEng. Proficiency",'17'!$G$154:$G$178)</f>
        <v>0</v>
      </c>
      <c r="I42" s="48">
        <f>SUMIF('17'!$N$189:$N$213,"Operations &amp; MaintenanceEng. Proficiency",'17'!$G$189:$G$213)</f>
        <v>0</v>
      </c>
      <c r="J42" s="174">
        <f t="shared" si="0"/>
        <v>0</v>
      </c>
      <c r="K42" s="701"/>
    </row>
    <row r="43" spans="1:11" x14ac:dyDescent="0.2">
      <c r="A43" s="713"/>
      <c r="B43" s="717"/>
      <c r="C43" s="36" t="s">
        <v>109</v>
      </c>
      <c r="D43" s="49">
        <f>SUMIF('17'!$N$14:$N$38,"Operations &amp; MaintenanceProf. Development",'17'!$G$14:$G$38)</f>
        <v>0</v>
      </c>
      <c r="E43" s="50">
        <f>SUMIF('17'!$N$49:$N$73,"Operations &amp; MaintenanceProf. Development",'17'!$G$49:$G$73)</f>
        <v>0</v>
      </c>
      <c r="F43" s="50">
        <f>SUMIF('17'!$N$84:$N$108,"Operations &amp; MaintenanceProf. Development",'17'!$G$84:$G$108)</f>
        <v>0</v>
      </c>
      <c r="G43" s="50">
        <f>SUMIF('17'!$N$119:$N$143,"Operations &amp; MaintenanceProf. Development",'17'!$G$119:$G$143)</f>
        <v>0</v>
      </c>
      <c r="H43" s="50">
        <f>SUMIF('17'!$N$154:$N$178,"Operations &amp; MaintenanceProf. Development",'17'!$G$154:$G$178)</f>
        <v>0</v>
      </c>
      <c r="I43" s="50">
        <f>SUMIF('17'!$N$189:$N$213,"Operations &amp; MaintenanceProf. Development",'17'!$G$189:$G$213)</f>
        <v>0</v>
      </c>
      <c r="J43" s="175">
        <f t="shared" si="0"/>
        <v>0</v>
      </c>
      <c r="K43" s="701"/>
    </row>
    <row r="44" spans="1:11" x14ac:dyDescent="0.2">
      <c r="A44" s="713"/>
      <c r="B44" s="717"/>
      <c r="C44" s="36" t="s">
        <v>128</v>
      </c>
      <c r="D44" s="49">
        <f>SUMIF('17'!$N$14:$N$38,"Operations &amp; MaintenanceObjectives/Strategies",'17'!$G$14:$G$38)</f>
        <v>0</v>
      </c>
      <c r="E44" s="50">
        <f>SUMIF('17'!$N$49:$N$73,"Operations &amp; MaintenanceObjectives/Strategies",'17'!$G$49:$G$73)</f>
        <v>0</v>
      </c>
      <c r="F44" s="50">
        <f>SUMIF('17'!$N$84:$N$108,"Operations &amp; MaintenanceObjectives/Strategies",'17'!$G$84:$G$108)</f>
        <v>0</v>
      </c>
      <c r="G44" s="50">
        <f>SUMIF('17'!$N$119:$N$143,"Operations &amp; MaintenanceObjectives/Strategies",'17'!$G$119:$G$143)</f>
        <v>0</v>
      </c>
      <c r="H44" s="50">
        <f>SUMIF('17'!$N$154:$N$178,"Operations &amp; MaintenanceObjectives/Strategies",'17'!$G$154:$G$178)</f>
        <v>0</v>
      </c>
      <c r="I44" s="50">
        <f>SUMIF('17'!$N$189:$N$213,"Operations &amp; MaintenanceObjectives/Strategies",'17'!$G$189:$G$213)</f>
        <v>0</v>
      </c>
      <c r="J44" s="175">
        <f t="shared" si="0"/>
        <v>0</v>
      </c>
      <c r="K44" s="701"/>
    </row>
    <row r="45" spans="1:11" x14ac:dyDescent="0.2">
      <c r="A45" s="713"/>
      <c r="B45" s="717"/>
      <c r="C45" s="36" t="s">
        <v>132</v>
      </c>
      <c r="D45" s="49">
        <f>SUMIF('17'!$N$14:$N$38,"Operations &amp; MaintenanceCurricula/Materials",'17'!$G$14:$G$38)</f>
        <v>0</v>
      </c>
      <c r="E45" s="50">
        <f>SUMIF('17'!$N$49:$N$73,"Operations &amp; MaintenanceCurricula/Materials",'17'!$G$49:$G$73)</f>
        <v>0</v>
      </c>
      <c r="F45" s="50">
        <f>SUMIF('17'!$N$84:$N$108,"Operations &amp; MaintenanceCurricula/Materials",'17'!$G$84:$G$108)</f>
        <v>0</v>
      </c>
      <c r="G45" s="50">
        <f>SUMIF('17'!$N$119:$N$143,"Operations &amp; MaintenanceCurricula/Materials",'17'!$G$119:$G$143)</f>
        <v>0</v>
      </c>
      <c r="H45" s="50">
        <f>SUMIF('17'!$N$154:$N$178,"Operations &amp; MaintenanceCurricula/Materials",'17'!$G$154:$G$178)</f>
        <v>0</v>
      </c>
      <c r="I45" s="50">
        <f>SUMIF('17'!$N$189:$N$213,"Operations &amp; MaintenanceCurricula/Materials",'17'!$G$189:$G$213)</f>
        <v>0</v>
      </c>
      <c r="J45" s="175">
        <f t="shared" si="0"/>
        <v>0</v>
      </c>
      <c r="K45" s="701"/>
    </row>
    <row r="46" spans="1:11" x14ac:dyDescent="0.2">
      <c r="A46" s="713"/>
      <c r="B46" s="717"/>
      <c r="C46" s="36" t="s">
        <v>129</v>
      </c>
      <c r="D46" s="49">
        <f>SUMIF('17'!$N$14:$N$38,"Operations &amp; MaintenanceTutorials",'17'!$G$14:$G$38)</f>
        <v>0</v>
      </c>
      <c r="E46" s="50">
        <f>SUMIF('17'!$N$49:$N$73,"Operations &amp; MaintenanceTutorials",'17'!$G$49:$G$73)</f>
        <v>0</v>
      </c>
      <c r="F46" s="50">
        <f>SUMIF('17'!$N$84:$N$108,"Operations &amp; MaintenanceTutorials",'17'!$G$84:$G$108)</f>
        <v>0</v>
      </c>
      <c r="G46" s="50">
        <f>SUMIF('17'!$N$119:$N$143,"Operations &amp; MaintenanceTutorials",'17'!$G$119:$G$143)</f>
        <v>0</v>
      </c>
      <c r="H46" s="50">
        <f>SUMIF('17'!$N$154:$N$178,"Operations &amp; MaintenanceTutorials",'17'!$G$154:$G$178)</f>
        <v>0</v>
      </c>
      <c r="I46" s="50">
        <f>SUMIF('17'!$N$189:$N$213,"Operations &amp; MaintenanceTutorials",'17'!$G$189:$G$213)</f>
        <v>0</v>
      </c>
      <c r="J46" s="175">
        <f t="shared" si="0"/>
        <v>0</v>
      </c>
      <c r="K46" s="701"/>
    </row>
    <row r="47" spans="1:11" x14ac:dyDescent="0.2">
      <c r="A47" s="713"/>
      <c r="B47" s="717"/>
      <c r="C47" s="36" t="s">
        <v>130</v>
      </c>
      <c r="D47" s="49">
        <f>SUMIF('17'!$N$14:$N$38,"Operations &amp; MaintenanceLang. Instruction. Prog.",'17'!$G$14:$G$38)</f>
        <v>0</v>
      </c>
      <c r="E47" s="50">
        <f>SUMIF('17'!$N$49:$N$73,"Operations &amp; MaintenanceLang. Instruction. Prog.",'17'!$G$49:$G$73)</f>
        <v>0</v>
      </c>
      <c r="F47" s="50">
        <f>SUMIF('17'!$N$84:$N$108,"Operations &amp; MaintenanceLang. Instruction. Prog.",'17'!$G$84:$G$108)</f>
        <v>0</v>
      </c>
      <c r="G47" s="50">
        <f>SUMIF('17'!$N$119:$N$143,"Operations &amp; MaintenanceLang. Instruction. Prog.",'17'!$G$119:$G$143)</f>
        <v>0</v>
      </c>
      <c r="H47" s="50">
        <f>SUMIF('17'!$N$154:$N$178,"Operations &amp; MaintenanceLang. Instruction. Prog.",'17'!$G$154:$G$178)</f>
        <v>0</v>
      </c>
      <c r="I47" s="50">
        <f>SUMIF('17'!$N$189:$N$213,"Operations &amp; MaintenanceLang. Instruction. Prog.",'17'!$G$189:$G$213)</f>
        <v>0</v>
      </c>
      <c r="J47" s="175">
        <f t="shared" si="0"/>
        <v>0</v>
      </c>
      <c r="K47" s="701"/>
    </row>
    <row r="48" spans="1:11" x14ac:dyDescent="0.2">
      <c r="A48" s="713"/>
      <c r="B48" s="717"/>
      <c r="C48" s="36" t="s">
        <v>131</v>
      </c>
      <c r="D48" s="49">
        <f>SUMIF('17'!$N$14:$N$38,"Operations &amp; MaintenanceParent/Community",'17'!$G$14:$G$38)</f>
        <v>0</v>
      </c>
      <c r="E48" s="50">
        <f>SUMIF('17'!$N$49:$N$73,"Operations &amp; MaintenanceParent/Community",'17'!$G$49:$G$73)</f>
        <v>0</v>
      </c>
      <c r="F48" s="50">
        <f>SUMIF('17'!$N$84:$N$108,"Operations &amp; MaintenanceParent/Community",'17'!$G$84:$G$108)</f>
        <v>0</v>
      </c>
      <c r="G48" s="50">
        <f>SUMIF('17'!$N$119:$N$143,"Operations &amp; MaintenanceParent/Community",'17'!$G$119:$G$143)</f>
        <v>0</v>
      </c>
      <c r="H48" s="50">
        <f>SUMIF('17'!$N$154:$N$178,"Operations &amp; MaintenanceParent/Community",'17'!$G$154:$G$178)</f>
        <v>0</v>
      </c>
      <c r="I48" s="50">
        <f>SUMIF('17'!$N$189:$N$213,"Operations &amp; MaintenanceParent/Community",'17'!$G$189:$G$213)</f>
        <v>0</v>
      </c>
      <c r="J48" s="175">
        <f t="shared" si="0"/>
        <v>0</v>
      </c>
      <c r="K48" s="701"/>
    </row>
    <row r="49" spans="1:11" x14ac:dyDescent="0.2">
      <c r="A49" s="713"/>
      <c r="B49" s="717"/>
      <c r="C49" s="36" t="s">
        <v>133</v>
      </c>
      <c r="D49" s="49">
        <f>SUMIF('17'!$N$14:$N$38,"Operations &amp; MaintenanceEd. Technology",'17'!$G$14:$G$38)</f>
        <v>0</v>
      </c>
      <c r="E49" s="50">
        <f>SUMIF('17'!$N$49:$N$73,"Operations &amp; MaintenanceEd. Technology",'17'!$G$49:$G$73)</f>
        <v>0</v>
      </c>
      <c r="F49" s="50">
        <f>SUMIF('17'!$N$84:$N$108,"Operations &amp; MaintenanceEd. Technology",'17'!$G$84:$G$108)</f>
        <v>0</v>
      </c>
      <c r="G49" s="50">
        <f>SUMIF('17'!$N$119:$N$143,"Operations &amp; MaintenanceEd. Technology",'17'!$G$119:$G$143)</f>
        <v>0</v>
      </c>
      <c r="H49" s="50">
        <f>SUMIF('17'!$N$154:$N$178,"Operations &amp; MaintenanceEd. Technology",'17'!$G$154:$G$178)</f>
        <v>0</v>
      </c>
      <c r="I49" s="50">
        <f>SUMIF('17'!$N$189:$N$213,"Operations &amp; MaintenanceEd. Technology",'17'!$G$189:$G$213)</f>
        <v>0</v>
      </c>
      <c r="J49" s="175">
        <f t="shared" si="0"/>
        <v>0</v>
      </c>
      <c r="K49" s="701"/>
    </row>
    <row r="50" spans="1:11" x14ac:dyDescent="0.2">
      <c r="A50" s="713"/>
      <c r="B50" s="717"/>
      <c r="C50" s="36" t="s">
        <v>108</v>
      </c>
      <c r="D50" s="49">
        <f>SUMIF('17'!$N$14:$N$38,"Operations &amp; MaintenanceEquitable Services",'17'!$G$14:$G$38)</f>
        <v>0</v>
      </c>
      <c r="E50" s="50">
        <f>SUMIF('17'!$N$49:$N$73,"Operations &amp; MaintenanceEquitable Services",'17'!$G$49:$G$73)</f>
        <v>0</v>
      </c>
      <c r="F50" s="50">
        <f>SUMIF('17'!$N$84:$N$108,"Operations &amp; MaintenanceEquitable Services",'17'!$G$84:$G$108)</f>
        <v>0</v>
      </c>
      <c r="G50" s="50">
        <f>SUMIF('17'!$N$119:$N$143,"Operations &amp; MaintenanceEquitable Services",'17'!$G$119:$G$143)</f>
        <v>0</v>
      </c>
      <c r="H50" s="50">
        <f>SUMIF('17'!$N$154:$N$178,"Operations &amp; MaintenanceEquitable Services",'17'!$G$154:$G$178)</f>
        <v>0</v>
      </c>
      <c r="I50" s="50">
        <f>SUMIF('17'!$N$189:$N$213,"Operations &amp; MaintenanceEquitable Services",'17'!$G$189:$G$213)</f>
        <v>0</v>
      </c>
      <c r="J50" s="175">
        <f t="shared" si="0"/>
        <v>0</v>
      </c>
      <c r="K50" s="701"/>
    </row>
    <row r="51" spans="1:11" x14ac:dyDescent="0.2">
      <c r="A51" s="713"/>
      <c r="B51" s="717"/>
      <c r="C51" s="36" t="s">
        <v>52</v>
      </c>
      <c r="D51" s="49">
        <f>SUMIF('17'!$N$14:$N$38,"Operations &amp; MaintenanceOther",'17'!$G$14:$G$38)</f>
        <v>0</v>
      </c>
      <c r="E51" s="50">
        <f>SUMIF('17'!$N$49:$N$73,"Operations &amp; MaintenanceOther",'17'!$G$49:$G$73)</f>
        <v>0</v>
      </c>
      <c r="F51" s="50">
        <f>SUMIF('17'!$N$84:$N$108,"Operations &amp; MaintenanceOther",'17'!$G$84:$G$108)</f>
        <v>0</v>
      </c>
      <c r="G51" s="50">
        <f>SUMIF('17'!$N$119:$N$143,"Operations &amp; MaintenanceOther",'17'!$G$119:$G$143)</f>
        <v>0</v>
      </c>
      <c r="H51" s="50">
        <f>SUMIF('17'!$N$154:$N$178,"Operations &amp; MaintenanceOther",'17'!$G$154:$G$178)</f>
        <v>0</v>
      </c>
      <c r="I51" s="50">
        <f>SUMIF('17'!$N$189:$N$213,"Operations &amp; MaintenanceOther",'17'!$G$189:$G$213)</f>
        <v>0</v>
      </c>
      <c r="J51" s="175">
        <f t="shared" si="0"/>
        <v>0</v>
      </c>
      <c r="K51" s="701"/>
    </row>
    <row r="52" spans="1:11" ht="13.5" thickBot="1" x14ac:dyDescent="0.25">
      <c r="A52" s="713"/>
      <c r="B52" s="763"/>
      <c r="C52" s="37" t="s">
        <v>112</v>
      </c>
      <c r="D52" s="38">
        <f t="shared" ref="D52:I52" si="4">SUM(D42:D51)</f>
        <v>0</v>
      </c>
      <c r="E52" s="38">
        <f t="shared" si="4"/>
        <v>0</v>
      </c>
      <c r="F52" s="38">
        <f t="shared" si="4"/>
        <v>0</v>
      </c>
      <c r="G52" s="38">
        <f t="shared" si="4"/>
        <v>0</v>
      </c>
      <c r="H52" s="38">
        <f t="shared" si="4"/>
        <v>0</v>
      </c>
      <c r="I52" s="38">
        <f t="shared" si="4"/>
        <v>0</v>
      </c>
      <c r="J52" s="41">
        <f t="shared" si="0"/>
        <v>0</v>
      </c>
      <c r="K52" s="701"/>
    </row>
    <row r="53" spans="1:11" ht="12.75" customHeight="1" x14ac:dyDescent="0.2">
      <c r="A53" s="713"/>
      <c r="B53" s="715" t="s">
        <v>95</v>
      </c>
      <c r="C53" s="35" t="s">
        <v>127</v>
      </c>
      <c r="D53" s="47">
        <f>SUMIF('17'!$N$14:$N$38,"Student TransportationEng. Proficiency",'17'!$G$14:$G$38)</f>
        <v>0</v>
      </c>
      <c r="E53" s="48">
        <f>SUMIF('17'!$N$49:$N$73,"Student TransportationEng. Proficiency",'17'!$G$49:$G$73)</f>
        <v>0</v>
      </c>
      <c r="F53" s="48">
        <f>SUMIF('17'!$N$84:$N$108,"Student TransportationEng. Proficiency",'17'!$G$84:$G$108)</f>
        <v>0</v>
      </c>
      <c r="G53" s="48">
        <f>SUMIF('17'!$N$119:$N$143,"Student TransportationEng. Proficiency",'17'!$G$119:$G$143)</f>
        <v>0</v>
      </c>
      <c r="H53" s="48">
        <f>SUMIF('17'!$N$154:$N$178,"Student TransportationEng. Proficiency",'17'!$G$154:$G$178)</f>
        <v>0</v>
      </c>
      <c r="I53" s="48">
        <f>SUMIF('17'!$N$189:$N$213,"Student TransportationEng. Proficiency",'17'!$G$189:$G$213)</f>
        <v>0</v>
      </c>
      <c r="J53" s="174">
        <f t="shared" si="0"/>
        <v>0</v>
      </c>
      <c r="K53" s="701"/>
    </row>
    <row r="54" spans="1:11" x14ac:dyDescent="0.2">
      <c r="A54" s="713"/>
      <c r="B54" s="717"/>
      <c r="C54" s="36" t="s">
        <v>109</v>
      </c>
      <c r="D54" s="49">
        <f>SUMIF('17'!$N$14:$N$38,"Student TransportationProf. Development",'17'!$G$14:$G$38)</f>
        <v>0</v>
      </c>
      <c r="E54" s="50">
        <f>SUMIF('17'!$N$49:$N$73,"Student TransportationProf. Development",'17'!$G$49:$G$73)</f>
        <v>0</v>
      </c>
      <c r="F54" s="50">
        <f>SUMIF('17'!$N$84:$N$108,"Student TransportationProf. Development",'17'!$G$84:$G$108)</f>
        <v>0</v>
      </c>
      <c r="G54" s="50">
        <f>SUMIF('17'!$N$119:$N$143,"Student TransportationProf. Development",'17'!$G$119:$G$143)</f>
        <v>0</v>
      </c>
      <c r="H54" s="50">
        <f>SUMIF('17'!$N$154:$N$178,"Student TransportationProf. Development",'17'!$G$154:$G$178)</f>
        <v>0</v>
      </c>
      <c r="I54" s="50">
        <f>SUMIF('17'!$N$189:$N$213,"Student TransportationProf. Development",'17'!$G$189:$G$213)</f>
        <v>0</v>
      </c>
      <c r="J54" s="175">
        <f t="shared" si="0"/>
        <v>0</v>
      </c>
      <c r="K54" s="701"/>
    </row>
    <row r="55" spans="1:11" x14ac:dyDescent="0.2">
      <c r="A55" s="713"/>
      <c r="B55" s="717"/>
      <c r="C55" s="36" t="s">
        <v>128</v>
      </c>
      <c r="D55" s="49">
        <f>SUMIF('17'!$N$14:$N$38,"Student TransportationObjectives/Strategies",'17'!$G$14:$G$38)</f>
        <v>0</v>
      </c>
      <c r="E55" s="50">
        <f>SUMIF('17'!$N$49:$N$73,"Student TransportationObjectives/Strategies",'17'!$G$49:$G$73)</f>
        <v>0</v>
      </c>
      <c r="F55" s="50">
        <f>SUMIF('17'!$N$84:$N$108,"Student TransportationObjectives/Strategies",'17'!$G$84:$G$108)</f>
        <v>0</v>
      </c>
      <c r="G55" s="50">
        <f>SUMIF('17'!$N$119:$N$143,"Student TransportationObjectives/Strategies",'17'!$G$119:$G$143)</f>
        <v>0</v>
      </c>
      <c r="H55" s="50">
        <f>SUMIF('17'!$N$154:$N$178,"Student TransportationObjectives/Strategies",'17'!$G$154:$G$178)</f>
        <v>0</v>
      </c>
      <c r="I55" s="50">
        <f>SUMIF('17'!$N$189:$N$213,"Student TransportationObjectives/Strategies",'17'!$G$189:$G$213)</f>
        <v>0</v>
      </c>
      <c r="J55" s="175">
        <f t="shared" si="0"/>
        <v>0</v>
      </c>
      <c r="K55" s="701"/>
    </row>
    <row r="56" spans="1:11" x14ac:dyDescent="0.2">
      <c r="A56" s="713"/>
      <c r="B56" s="717"/>
      <c r="C56" s="36" t="s">
        <v>132</v>
      </c>
      <c r="D56" s="49">
        <f>SUMIF('17'!$N$14:$N$38,"Student TransportationCurricula/Materials",'17'!$G$14:$G$38)</f>
        <v>0</v>
      </c>
      <c r="E56" s="50">
        <f>SUMIF('17'!$N$49:$N$73,"Student TransportationCurricula/Materials",'17'!$G$49:$G$73)</f>
        <v>0</v>
      </c>
      <c r="F56" s="50">
        <f>SUMIF('17'!$N$84:$N$108,"Student TransportationCurricula/Materials",'17'!$G$84:$G$108)</f>
        <v>0</v>
      </c>
      <c r="G56" s="50">
        <f>SUMIF('17'!$N$119:$N$143,"Student TransportationCurricula/Materials",'17'!$G$119:$G$143)</f>
        <v>0</v>
      </c>
      <c r="H56" s="50">
        <f>SUMIF('17'!$N$154:$N$178,"Student TransportationCurricula/Materials",'17'!$G$154:$G$178)</f>
        <v>0</v>
      </c>
      <c r="I56" s="50">
        <f>SUMIF('17'!$N$189:$N$213,"Student TransportationCurricula/Materials",'17'!$G$189:$G$213)</f>
        <v>0</v>
      </c>
      <c r="J56" s="175">
        <f t="shared" si="0"/>
        <v>0</v>
      </c>
      <c r="K56" s="701"/>
    </row>
    <row r="57" spans="1:11" x14ac:dyDescent="0.2">
      <c r="A57" s="713"/>
      <c r="B57" s="717"/>
      <c r="C57" s="36" t="s">
        <v>129</v>
      </c>
      <c r="D57" s="49">
        <f>SUMIF('17'!$N$14:$N$38,"Student TransportationTutorials",'17'!$G$14:$G$38)</f>
        <v>0</v>
      </c>
      <c r="E57" s="50">
        <f>SUMIF('17'!$N$49:$N$73,"Student TransportationTutorials",'17'!$G$49:$G$73)</f>
        <v>0</v>
      </c>
      <c r="F57" s="50">
        <f>SUMIF('17'!$N$84:$N$108,"Student TransportationTutorials",'17'!$G$84:$G$108)</f>
        <v>0</v>
      </c>
      <c r="G57" s="50">
        <f>SUMIF('17'!$N$119:$N$143,"Student TransportationTutorials",'17'!$G$119:$G$143)</f>
        <v>0</v>
      </c>
      <c r="H57" s="50">
        <f>SUMIF('17'!$N$154:$N$178,"Student TransportationTutorials",'17'!$G$154:$G$178)</f>
        <v>0</v>
      </c>
      <c r="I57" s="50">
        <f>SUMIF('17'!$N$189:$N$213,"Student TransportationTutorials",'17'!$G$189:$G$213)</f>
        <v>0</v>
      </c>
      <c r="J57" s="175">
        <f t="shared" si="0"/>
        <v>0</v>
      </c>
      <c r="K57" s="701"/>
    </row>
    <row r="58" spans="1:11" x14ac:dyDescent="0.2">
      <c r="A58" s="713"/>
      <c r="B58" s="717"/>
      <c r="C58" s="36" t="s">
        <v>130</v>
      </c>
      <c r="D58" s="49">
        <f>SUMIF('17'!$N$14:$N$38,"Student TransportationLang. Instruction. Prog.",'17'!$G$14:$G$38)</f>
        <v>0</v>
      </c>
      <c r="E58" s="50">
        <f>SUMIF('17'!$N$49:$N$73,"Student TransportationLang. Instruction. Prog.",'17'!$G$49:$G$73)</f>
        <v>0</v>
      </c>
      <c r="F58" s="50">
        <f>SUMIF('17'!$N$84:$N$108,"Student TransportationLang. Instruction. Prog.",'17'!$G$84:$G$108)</f>
        <v>0</v>
      </c>
      <c r="G58" s="50">
        <f>SUMIF('17'!$N$119:$N$143,"Student TransportationLang. Instruction. Prog.",'17'!$G$119:$G$143)</f>
        <v>0</v>
      </c>
      <c r="H58" s="50">
        <f>SUMIF('17'!$N$154:$N$178,"Student TransportationLang. Instruction. Prog.",'17'!$G$154:$G$178)</f>
        <v>0</v>
      </c>
      <c r="I58" s="50">
        <f>SUMIF('17'!$N$189:$N$213,"Student TransportationLang. Instruction. Prog.",'17'!$G$189:$G$213)</f>
        <v>0</v>
      </c>
      <c r="J58" s="175">
        <f t="shared" si="0"/>
        <v>0</v>
      </c>
      <c r="K58" s="701"/>
    </row>
    <row r="59" spans="1:11" x14ac:dyDescent="0.2">
      <c r="A59" s="713"/>
      <c r="B59" s="717"/>
      <c r="C59" s="36" t="s">
        <v>131</v>
      </c>
      <c r="D59" s="49">
        <f>SUMIF('17'!$N$14:$N$38,"Student TransportationParent/Community",'17'!$G$14:$G$38)</f>
        <v>0</v>
      </c>
      <c r="E59" s="50">
        <f>SUMIF('17'!$N$49:$N$73,"Student TransportationParent/Community",'17'!$G$49:$G$73)</f>
        <v>0</v>
      </c>
      <c r="F59" s="50">
        <f>SUMIF('17'!$N$84:$N$108,"Student TransportationParent/Community",'17'!$G$84:$G$108)</f>
        <v>0</v>
      </c>
      <c r="G59" s="50">
        <f>SUMIF('17'!$N$119:$N$143,"Student TransportationParent/Community",'17'!$G$119:$G$143)</f>
        <v>0</v>
      </c>
      <c r="H59" s="50">
        <f>SUMIF('17'!$N$154:$N$178,"Student TransportationParent/Community",'17'!$G$154:$G$178)</f>
        <v>0</v>
      </c>
      <c r="I59" s="50">
        <f>SUMIF('17'!$N$189:$N$213,"Student TransportationParent/Community",'17'!$G$189:$G$213)</f>
        <v>0</v>
      </c>
      <c r="J59" s="175">
        <f t="shared" si="0"/>
        <v>0</v>
      </c>
      <c r="K59" s="701"/>
    </row>
    <row r="60" spans="1:11" x14ac:dyDescent="0.2">
      <c r="A60" s="713"/>
      <c r="B60" s="717"/>
      <c r="C60" s="36" t="s">
        <v>133</v>
      </c>
      <c r="D60" s="49">
        <f>SUMIF('17'!$N$14:$N$38,"Student TransportationEd. Technology",'17'!$G$14:$G$38)</f>
        <v>0</v>
      </c>
      <c r="E60" s="50">
        <f>SUMIF('17'!$N$49:$N$73,"Student TransportationEd. Technology",'17'!$G$49:$G$73)</f>
        <v>0</v>
      </c>
      <c r="F60" s="50">
        <f>SUMIF('17'!$N$84:$N$108,"Student TransportationEd. Technology",'17'!$G$84:$G$108)</f>
        <v>0</v>
      </c>
      <c r="G60" s="50">
        <f>SUMIF('17'!$N$119:$N$143,"Student TransportationEd. Technology",'17'!$G$119:$G$143)</f>
        <v>0</v>
      </c>
      <c r="H60" s="50">
        <f>SUMIF('17'!$N$154:$N$178,"Student TransportationEd. Technology",'17'!$G$154:$G$178)</f>
        <v>0</v>
      </c>
      <c r="I60" s="50">
        <f>SUMIF('17'!$N$189:$N$213,"Student TransportationEd. Technology",'17'!$G$189:$G$213)</f>
        <v>0</v>
      </c>
      <c r="J60" s="175">
        <f t="shared" si="0"/>
        <v>0</v>
      </c>
      <c r="K60" s="701"/>
    </row>
    <row r="61" spans="1:11" x14ac:dyDescent="0.2">
      <c r="A61" s="713"/>
      <c r="B61" s="717"/>
      <c r="C61" s="36" t="s">
        <v>108</v>
      </c>
      <c r="D61" s="49">
        <f>SUMIF('17'!$N$14:$N$38,"Student TransportationEquitable Services",'17'!$G$14:$G$38)</f>
        <v>0</v>
      </c>
      <c r="E61" s="50">
        <f>SUMIF('17'!$N$49:$N$73,"Student TransportationEquitable Services",'17'!$G$49:$G$73)</f>
        <v>0</v>
      </c>
      <c r="F61" s="50">
        <f>SUMIF('17'!$N$84:$N$108,"Student TransportationEquitable Services",'17'!$G$84:$G$108)</f>
        <v>0</v>
      </c>
      <c r="G61" s="50">
        <f>SUMIF('17'!$N$119:$N$143,"Student TransportationEquitable Services",'17'!$G$119:$G$143)</f>
        <v>0</v>
      </c>
      <c r="H61" s="50">
        <f>SUMIF('17'!$N$154:$N$178,"Student TransportationEquitable Services",'17'!$G$154:$G$178)</f>
        <v>0</v>
      </c>
      <c r="I61" s="50">
        <f>SUMIF('17'!$N$189:$N$213,"Student TransportationEquitable Services",'17'!$G$189:$G$213)</f>
        <v>0</v>
      </c>
      <c r="J61" s="175">
        <f t="shared" si="0"/>
        <v>0</v>
      </c>
      <c r="K61" s="701"/>
    </row>
    <row r="62" spans="1:11" x14ac:dyDescent="0.2">
      <c r="A62" s="713"/>
      <c r="B62" s="717"/>
      <c r="C62" s="36" t="s">
        <v>52</v>
      </c>
      <c r="D62" s="49">
        <f>SUMIF('17'!$N$14:$N$38,"Student TransportationOther",'17'!$G$14:$G$38)</f>
        <v>0</v>
      </c>
      <c r="E62" s="50">
        <f>SUMIF('17'!$N$49:$N$73,"Student TransportationOther",'17'!$G$49:$G$73)</f>
        <v>0</v>
      </c>
      <c r="F62" s="50">
        <f>SUMIF('17'!$N$84:$N$108,"Student TransportationOther",'17'!$G$84:$G$108)</f>
        <v>0</v>
      </c>
      <c r="G62" s="50">
        <f>SUMIF('17'!$N$119:$N$143,"Student TransportationOther",'17'!$G$119:$G$143)</f>
        <v>0</v>
      </c>
      <c r="H62" s="50">
        <f>SUMIF('17'!$N$154:$N$178,"Student TransportationOther",'17'!$G$154:$G$178)</f>
        <v>0</v>
      </c>
      <c r="I62" s="50">
        <f>SUMIF('17'!$N$189:$N$213,"Student TransportationOther",'17'!$G$189:$G$213)</f>
        <v>0</v>
      </c>
      <c r="J62" s="175">
        <f t="shared" si="0"/>
        <v>0</v>
      </c>
      <c r="K62" s="701"/>
    </row>
    <row r="63" spans="1:11" ht="13.5" thickBot="1" x14ac:dyDescent="0.25">
      <c r="A63" s="713"/>
      <c r="B63" s="763"/>
      <c r="C63" s="37" t="s">
        <v>112</v>
      </c>
      <c r="D63" s="38">
        <f t="shared" ref="D63:I63" si="5">SUM(D53:D62)</f>
        <v>0</v>
      </c>
      <c r="E63" s="38">
        <f t="shared" si="5"/>
        <v>0</v>
      </c>
      <c r="F63" s="38">
        <f t="shared" si="5"/>
        <v>0</v>
      </c>
      <c r="G63" s="38">
        <f t="shared" si="5"/>
        <v>0</v>
      </c>
      <c r="H63" s="38">
        <f t="shared" si="5"/>
        <v>0</v>
      </c>
      <c r="I63" s="38">
        <f t="shared" si="5"/>
        <v>0</v>
      </c>
      <c r="J63" s="41">
        <f t="shared" si="0"/>
        <v>0</v>
      </c>
      <c r="K63" s="701"/>
    </row>
    <row r="64" spans="1:11" ht="12.75" customHeight="1" x14ac:dyDescent="0.2">
      <c r="A64" s="713"/>
      <c r="B64" s="715" t="s">
        <v>52</v>
      </c>
      <c r="C64" s="35" t="s">
        <v>127</v>
      </c>
      <c r="D64" s="47">
        <f>SUMIF('17'!$N$14:$N$38,"OtherEng. Proficiency",'17'!$G$14:$G$38)</f>
        <v>0</v>
      </c>
      <c r="E64" s="48">
        <f>SUMIF('17'!$N$49:$N$73,"OtherEng. Proficiency",'17'!$G$49:$G$73)</f>
        <v>0</v>
      </c>
      <c r="F64" s="48">
        <f>SUMIF('17'!$N$84:$N$108,"OtherEng. Proficiency",'17'!$G$84:$G$108)</f>
        <v>0</v>
      </c>
      <c r="G64" s="48">
        <f>SUMIF('17'!$N$119:$N$143,"OtherEng. Proficiency",'17'!$G$119:$G$143)</f>
        <v>0</v>
      </c>
      <c r="H64" s="48">
        <f>SUMIF('17'!$N$154:$N$178,"OtherEng. Proficiency",'17'!$G$154:$G$178)</f>
        <v>0</v>
      </c>
      <c r="I64" s="48">
        <f>SUMIF('17'!$N$189:$N$213,"OtherEng. Proficiency",'17'!$G$189:$G$213)</f>
        <v>0</v>
      </c>
      <c r="J64" s="174">
        <f t="shared" si="0"/>
        <v>0</v>
      </c>
      <c r="K64" s="701"/>
    </row>
    <row r="65" spans="1:11" x14ac:dyDescent="0.2">
      <c r="A65" s="713"/>
      <c r="B65" s="717"/>
      <c r="C65" s="36" t="s">
        <v>109</v>
      </c>
      <c r="D65" s="49">
        <f>SUMIF('17'!$N$14:$N$38,"OtherProf. Development",'17'!$G$14:$G$38)</f>
        <v>0</v>
      </c>
      <c r="E65" s="50">
        <f>SUMIF('17'!$N$49:$N$73,"OtherProf. Development",'17'!$G$49:$G$73)</f>
        <v>0</v>
      </c>
      <c r="F65" s="50">
        <f>SUMIF('17'!$N$84:$N$108,"OtherProf. Development",'17'!$G$84:$G$108)</f>
        <v>0</v>
      </c>
      <c r="G65" s="50">
        <f>SUMIF('17'!$N$119:$N$143,"OtherProf. Development",'17'!$G$119:$G$143)</f>
        <v>0</v>
      </c>
      <c r="H65" s="50">
        <f>SUMIF('17'!$N$154:$N$178,"OtherProf. Development",'17'!$G$154:$G$178)</f>
        <v>0</v>
      </c>
      <c r="I65" s="50">
        <f>SUMIF('17'!$N$189:$N$213,"OtherProf. Development",'17'!$G$189:$G$213)</f>
        <v>0</v>
      </c>
      <c r="J65" s="175">
        <f t="shared" si="0"/>
        <v>0</v>
      </c>
      <c r="K65" s="701"/>
    </row>
    <row r="66" spans="1:11" x14ac:dyDescent="0.2">
      <c r="A66" s="713"/>
      <c r="B66" s="717"/>
      <c r="C66" s="36" t="s">
        <v>128</v>
      </c>
      <c r="D66" s="49">
        <f>SUMIF('17'!$N$14:$N$38,"OtherObjectives/Strategies",'17'!$G$14:$G$38)</f>
        <v>0</v>
      </c>
      <c r="E66" s="50">
        <f>SUMIF('17'!$N$49:$N$73,"OtherObjectives/Strategies",'17'!$G$49:$G$73)</f>
        <v>0</v>
      </c>
      <c r="F66" s="50">
        <f>SUMIF('17'!$N$84:$N$108,"OtherObjectives/Strategies",'17'!$G$84:$G$108)</f>
        <v>0</v>
      </c>
      <c r="G66" s="50">
        <f>SUMIF('17'!$N$119:$N$143,"OtherObjectives/Strategies",'17'!$G$119:$G$143)</f>
        <v>0</v>
      </c>
      <c r="H66" s="50">
        <f>SUMIF('17'!$N$154:$N$178,"OtherObjectives/Strategies",'17'!$G$154:$G$178)</f>
        <v>0</v>
      </c>
      <c r="I66" s="50">
        <f>SUMIF('17'!$N$189:$N$213,"OtherObjectives/Strategies",'17'!$G$189:$G$213)</f>
        <v>0</v>
      </c>
      <c r="J66" s="175">
        <f t="shared" si="0"/>
        <v>0</v>
      </c>
      <c r="K66" s="701"/>
    </row>
    <row r="67" spans="1:11" x14ac:dyDescent="0.2">
      <c r="A67" s="713"/>
      <c r="B67" s="717"/>
      <c r="C67" s="36" t="s">
        <v>132</v>
      </c>
      <c r="D67" s="49">
        <f>SUMIF('17'!$N$14:$N$38,"OtherCurricula/Materials",'17'!$G$14:$G$38)</f>
        <v>0</v>
      </c>
      <c r="E67" s="50">
        <f>SUMIF('17'!$N$49:$N$73,"OtherCurricula/Materials",'17'!$G$49:$G$73)</f>
        <v>0</v>
      </c>
      <c r="F67" s="50">
        <f>SUMIF('17'!$N$84:$N$108,"OtherCurricula/Materials",'17'!$G$84:$G$108)</f>
        <v>0</v>
      </c>
      <c r="G67" s="50">
        <f>SUMIF('17'!$N$119:$N$143,"OtherCurricula/Materials",'17'!$G$119:$G$143)</f>
        <v>0</v>
      </c>
      <c r="H67" s="50">
        <f>SUMIF('17'!$N$154:$N$178,"OtherCurricula/Materials",'17'!$G$154:$G$178)</f>
        <v>0</v>
      </c>
      <c r="I67" s="50">
        <f>SUMIF('17'!$N$189:$N$213,"OtherCurricula/Materials",'17'!$G$189:$G$213)</f>
        <v>0</v>
      </c>
      <c r="J67" s="175">
        <f t="shared" si="0"/>
        <v>0</v>
      </c>
      <c r="K67" s="701"/>
    </row>
    <row r="68" spans="1:11" x14ac:dyDescent="0.2">
      <c r="A68" s="713"/>
      <c r="B68" s="717"/>
      <c r="C68" s="36" t="s">
        <v>129</v>
      </c>
      <c r="D68" s="49">
        <f>SUMIF('17'!$N$14:$N$38,"OtherTutorials",'17'!$G$14:$G$38)</f>
        <v>0</v>
      </c>
      <c r="E68" s="50">
        <f>SUMIF('17'!$N$49:$N$73,"OtherTutorials",'17'!$G$49:$G$73)</f>
        <v>0</v>
      </c>
      <c r="F68" s="50">
        <f>SUMIF('17'!$N$84:$N$108,"OtherTutorials",'17'!$G$84:$G$108)</f>
        <v>0</v>
      </c>
      <c r="G68" s="50">
        <f>SUMIF('17'!$N$119:$N$143,"OtherTutorials",'17'!$G$119:$G$143)</f>
        <v>0</v>
      </c>
      <c r="H68" s="50">
        <f>SUMIF('17'!$N$154:$N$178,"OtherTutorials",'17'!$G$154:$G$178)</f>
        <v>0</v>
      </c>
      <c r="I68" s="50">
        <f>SUMIF('17'!$N$189:$N$213,"OtherTutorials",'17'!$G$189:$G$213)</f>
        <v>0</v>
      </c>
      <c r="J68" s="175">
        <f t="shared" si="0"/>
        <v>0</v>
      </c>
      <c r="K68" s="701"/>
    </row>
    <row r="69" spans="1:11" x14ac:dyDescent="0.2">
      <c r="A69" s="713"/>
      <c r="B69" s="717"/>
      <c r="C69" s="36" t="s">
        <v>130</v>
      </c>
      <c r="D69" s="49">
        <f>SUMIF('17'!$N$14:$N$38,"OtherLang. Instruction. Prog.",'17'!$G$14:$G$38)</f>
        <v>0</v>
      </c>
      <c r="E69" s="50">
        <f>SUMIF('17'!$N$49:$N$73,"OtherLang. Instruction. Prog.",'17'!$G$49:$G$73)</f>
        <v>0</v>
      </c>
      <c r="F69" s="50">
        <f>SUMIF('17'!$N$84:$N$108,"OtherLang. Instruction. Prog.",'17'!$G$84:$G$108)</f>
        <v>0</v>
      </c>
      <c r="G69" s="50">
        <f>SUMIF('17'!$N$119:$N$143,"OtherLang. Instruction. Prog.",'17'!$G$119:$G$143)</f>
        <v>0</v>
      </c>
      <c r="H69" s="50">
        <f>SUMIF('17'!$N$154:$N$178,"OtherLang. Instruction. Prog.",'17'!$G$154:$G$178)</f>
        <v>0</v>
      </c>
      <c r="I69" s="50">
        <f>SUMIF('17'!$N$189:$N$213,"OtherLang. Instruction. Prog.",'17'!$G$189:$G$213)</f>
        <v>0</v>
      </c>
      <c r="J69" s="175">
        <f t="shared" si="0"/>
        <v>0</v>
      </c>
      <c r="K69" s="701"/>
    </row>
    <row r="70" spans="1:11" x14ac:dyDescent="0.2">
      <c r="A70" s="713"/>
      <c r="B70" s="717"/>
      <c r="C70" s="36" t="s">
        <v>131</v>
      </c>
      <c r="D70" s="49">
        <f>SUMIF('17'!$N$14:$N$38,"OtherParent/Community",'17'!$G$14:$G$38)</f>
        <v>0</v>
      </c>
      <c r="E70" s="50">
        <f>SUMIF('17'!$N$49:$N$73,"OtherParent/Community",'17'!$G$49:$G$73)</f>
        <v>0</v>
      </c>
      <c r="F70" s="50">
        <f>SUMIF('17'!$N$84:$N$108,"OtherParent/Community",'17'!$G$84:$G$108)</f>
        <v>0</v>
      </c>
      <c r="G70" s="50">
        <f>SUMIF('17'!$N$119:$N$143,"OtherParent/Community",'17'!$G$119:$G$143)</f>
        <v>0</v>
      </c>
      <c r="H70" s="50">
        <f>SUMIF('17'!$N$154:$N$178,"OtherParent/Community",'17'!$G$154:$G$178)</f>
        <v>0</v>
      </c>
      <c r="I70" s="50">
        <f>SUMIF('17'!$N$189:$N$213,"OtherParent/Community",'17'!$G$189:$G$213)</f>
        <v>0</v>
      </c>
      <c r="J70" s="175">
        <f t="shared" si="0"/>
        <v>0</v>
      </c>
      <c r="K70" s="701"/>
    </row>
    <row r="71" spans="1:11" x14ac:dyDescent="0.2">
      <c r="A71" s="713"/>
      <c r="B71" s="717"/>
      <c r="C71" s="36" t="s">
        <v>133</v>
      </c>
      <c r="D71" s="49">
        <f>SUMIF('17'!$N$14:$N$38,"OtherEd. Technology",'17'!$G$14:$G$38)</f>
        <v>0</v>
      </c>
      <c r="E71" s="50">
        <f>SUMIF('17'!$N$49:$N$73,"OtherEd. Technology",'17'!$G$49:$G$73)</f>
        <v>0</v>
      </c>
      <c r="F71" s="50">
        <f>SUMIF('17'!$N$84:$N$108,"OtherEd. Technology",'17'!$G$84:$G$108)</f>
        <v>0</v>
      </c>
      <c r="G71" s="50">
        <f>SUMIF('17'!$N$119:$N$143,"OtherEd. Technology",'17'!$G$119:$G$143)</f>
        <v>0</v>
      </c>
      <c r="H71" s="50">
        <f>SUMIF('17'!$N$154:$N$178,"OtherEd. Technology",'17'!$G$154:$G$178)</f>
        <v>0</v>
      </c>
      <c r="I71" s="50">
        <f>SUMIF('17'!$N$189:$N$213,"OtherEd. Technology",'17'!$G$189:$G$213)</f>
        <v>0</v>
      </c>
      <c r="J71" s="175">
        <f t="shared" si="0"/>
        <v>0</v>
      </c>
      <c r="K71" s="701"/>
    </row>
    <row r="72" spans="1:11" x14ac:dyDescent="0.2">
      <c r="A72" s="713"/>
      <c r="B72" s="717"/>
      <c r="C72" s="36" t="s">
        <v>108</v>
      </c>
      <c r="D72" s="49">
        <f>SUMIF('17'!$N$14:$N$38,"OtherEquitable Services",'17'!$G$14:$G$38)</f>
        <v>0</v>
      </c>
      <c r="E72" s="50">
        <f>SUMIF('17'!$N$49:$N$73,"OtherEquitable Services",'17'!$G$49:$G$73)</f>
        <v>0</v>
      </c>
      <c r="F72" s="50">
        <f>SUMIF('17'!$N$84:$N$108,"OtherEquitable Services",'17'!$G$84:$G$108)</f>
        <v>0</v>
      </c>
      <c r="G72" s="50">
        <f>SUMIF('17'!$N$119:$N$143,"OtherEquitable Services",'17'!$G$119:$G$143)</f>
        <v>0</v>
      </c>
      <c r="H72" s="50">
        <f>SUMIF('17'!$N$154:$N$178,"OtherEquitable Services",'17'!$G$154:$G$178)</f>
        <v>0</v>
      </c>
      <c r="I72" s="50">
        <f>SUMIF('17'!$N$189:$N$213,"OtherEquitable Services",'17'!$G$189:$G$213)</f>
        <v>0</v>
      </c>
      <c r="J72" s="175">
        <f t="shared" si="0"/>
        <v>0</v>
      </c>
      <c r="K72" s="701"/>
    </row>
    <row r="73" spans="1:11" x14ac:dyDescent="0.2">
      <c r="A73" s="713"/>
      <c r="B73" s="717"/>
      <c r="C73" s="36" t="s">
        <v>52</v>
      </c>
      <c r="D73" s="49">
        <f>SUMIF('17'!$N$14:$N$38,"OtherOther",'17'!$G$14:$G$38)</f>
        <v>0</v>
      </c>
      <c r="E73" s="50">
        <f>SUMIF('17'!$N$49:$N$73,"OtherOther",'17'!$G$49:$G$73)</f>
        <v>0</v>
      </c>
      <c r="F73" s="50">
        <f>SUMIF('17'!$N$84:$N$108,"OtherOther",'17'!$G$84:$G$108)</f>
        <v>0</v>
      </c>
      <c r="G73" s="50">
        <f>SUMIF('17'!$N$119:$N$143,"OtherOther",'17'!$G$119:$G$143)</f>
        <v>0</v>
      </c>
      <c r="H73" s="50">
        <f>SUMIF('17'!$N$154:$N$178,"OtherOther",'17'!$G$154:$G$178)</f>
        <v>0</v>
      </c>
      <c r="I73" s="50">
        <f>SUMIF('17'!$N$189:$N$213,"OtherOther",'17'!$G$189:$G$213)</f>
        <v>0</v>
      </c>
      <c r="J73" s="175">
        <f t="shared" si="0"/>
        <v>0</v>
      </c>
      <c r="K73" s="701"/>
    </row>
    <row r="74" spans="1:11" ht="13.5" thickBot="1" x14ac:dyDescent="0.25">
      <c r="A74" s="713"/>
      <c r="B74" s="763"/>
      <c r="C74" s="37" t="s">
        <v>112</v>
      </c>
      <c r="D74" s="38">
        <f t="shared" ref="D74:I74" si="6">SUM(D64:D73)</f>
        <v>0</v>
      </c>
      <c r="E74" s="38">
        <f t="shared" si="6"/>
        <v>0</v>
      </c>
      <c r="F74" s="38">
        <f t="shared" si="6"/>
        <v>0</v>
      </c>
      <c r="G74" s="38">
        <f t="shared" si="6"/>
        <v>0</v>
      </c>
      <c r="H74" s="38">
        <f t="shared" si="6"/>
        <v>0</v>
      </c>
      <c r="I74" s="38">
        <f t="shared" si="6"/>
        <v>0</v>
      </c>
      <c r="J74" s="41">
        <f t="shared" si="0"/>
        <v>0</v>
      </c>
      <c r="K74" s="701"/>
    </row>
    <row r="75" spans="1:11" ht="12.75" customHeight="1" x14ac:dyDescent="0.2">
      <c r="A75" s="713"/>
      <c r="B75" s="719" t="s">
        <v>113</v>
      </c>
      <c r="C75" s="43" t="s">
        <v>127</v>
      </c>
      <c r="D75" s="51">
        <f t="shared" ref="D75:I75" si="7">SUM(D9,D20,D31,D42,D53,D64)</f>
        <v>0</v>
      </c>
      <c r="E75" s="52">
        <f t="shared" si="7"/>
        <v>0</v>
      </c>
      <c r="F75" s="52">
        <f t="shared" si="7"/>
        <v>0</v>
      </c>
      <c r="G75" s="52">
        <f t="shared" si="7"/>
        <v>0</v>
      </c>
      <c r="H75" s="52">
        <f t="shared" si="7"/>
        <v>0</v>
      </c>
      <c r="I75" s="52">
        <f t="shared" si="7"/>
        <v>0</v>
      </c>
      <c r="J75" s="44">
        <f t="shared" ref="J75:J85" si="8">SUM(D75:I75)</f>
        <v>0</v>
      </c>
      <c r="K75" s="701"/>
    </row>
    <row r="76" spans="1:11" x14ac:dyDescent="0.2">
      <c r="A76" s="713"/>
      <c r="B76" s="721"/>
      <c r="C76" s="45" t="s">
        <v>109</v>
      </c>
      <c r="D76" s="53">
        <f t="shared" ref="D76:I84" si="9">SUM(D10,D21,D32,D43,D54,D65)</f>
        <v>0</v>
      </c>
      <c r="E76" s="54">
        <f t="shared" si="9"/>
        <v>0</v>
      </c>
      <c r="F76" s="54">
        <f t="shared" si="9"/>
        <v>0</v>
      </c>
      <c r="G76" s="54">
        <f t="shared" si="9"/>
        <v>0</v>
      </c>
      <c r="H76" s="54">
        <f t="shared" si="9"/>
        <v>0</v>
      </c>
      <c r="I76" s="54">
        <f t="shared" si="9"/>
        <v>0</v>
      </c>
      <c r="J76" s="46">
        <f t="shared" si="8"/>
        <v>0</v>
      </c>
      <c r="K76" s="701"/>
    </row>
    <row r="77" spans="1:11" x14ac:dyDescent="0.2">
      <c r="A77" s="713"/>
      <c r="B77" s="721"/>
      <c r="C77" s="45" t="s">
        <v>128</v>
      </c>
      <c r="D77" s="53">
        <f t="shared" si="9"/>
        <v>0</v>
      </c>
      <c r="E77" s="54">
        <f t="shared" si="9"/>
        <v>0</v>
      </c>
      <c r="F77" s="54">
        <f t="shared" si="9"/>
        <v>0</v>
      </c>
      <c r="G77" s="54">
        <f t="shared" si="9"/>
        <v>0</v>
      </c>
      <c r="H77" s="54">
        <f t="shared" si="9"/>
        <v>0</v>
      </c>
      <c r="I77" s="54">
        <f t="shared" si="9"/>
        <v>0</v>
      </c>
      <c r="J77" s="46">
        <f t="shared" si="8"/>
        <v>0</v>
      </c>
      <c r="K77" s="701"/>
    </row>
    <row r="78" spans="1:11" x14ac:dyDescent="0.2">
      <c r="A78" s="713"/>
      <c r="B78" s="721"/>
      <c r="C78" s="45" t="s">
        <v>132</v>
      </c>
      <c r="D78" s="53">
        <f t="shared" si="9"/>
        <v>0</v>
      </c>
      <c r="E78" s="54">
        <f t="shared" si="9"/>
        <v>0</v>
      </c>
      <c r="F78" s="54">
        <f t="shared" si="9"/>
        <v>0</v>
      </c>
      <c r="G78" s="54">
        <f t="shared" si="9"/>
        <v>0</v>
      </c>
      <c r="H78" s="54">
        <f t="shared" si="9"/>
        <v>0</v>
      </c>
      <c r="I78" s="54">
        <f t="shared" si="9"/>
        <v>0</v>
      </c>
      <c r="J78" s="46">
        <f t="shared" si="8"/>
        <v>0</v>
      </c>
      <c r="K78" s="701"/>
    </row>
    <row r="79" spans="1:11" x14ac:dyDescent="0.2">
      <c r="A79" s="713"/>
      <c r="B79" s="721"/>
      <c r="C79" s="45" t="s">
        <v>129</v>
      </c>
      <c r="D79" s="53">
        <f t="shared" si="9"/>
        <v>0</v>
      </c>
      <c r="E79" s="54">
        <f t="shared" si="9"/>
        <v>0</v>
      </c>
      <c r="F79" s="54">
        <f t="shared" si="9"/>
        <v>0</v>
      </c>
      <c r="G79" s="54">
        <f t="shared" si="9"/>
        <v>0</v>
      </c>
      <c r="H79" s="54">
        <f t="shared" si="9"/>
        <v>0</v>
      </c>
      <c r="I79" s="54">
        <f t="shared" si="9"/>
        <v>0</v>
      </c>
      <c r="J79" s="46">
        <f t="shared" si="8"/>
        <v>0</v>
      </c>
      <c r="K79" s="701"/>
    </row>
    <row r="80" spans="1:11" x14ac:dyDescent="0.2">
      <c r="A80" s="713"/>
      <c r="B80" s="721"/>
      <c r="C80" s="45" t="s">
        <v>130</v>
      </c>
      <c r="D80" s="53">
        <f t="shared" si="9"/>
        <v>0</v>
      </c>
      <c r="E80" s="54">
        <f t="shared" si="9"/>
        <v>0</v>
      </c>
      <c r="F80" s="54">
        <f t="shared" si="9"/>
        <v>0</v>
      </c>
      <c r="G80" s="54">
        <f t="shared" si="9"/>
        <v>0</v>
      </c>
      <c r="H80" s="54">
        <f t="shared" si="9"/>
        <v>0</v>
      </c>
      <c r="I80" s="54">
        <f t="shared" si="9"/>
        <v>0</v>
      </c>
      <c r="J80" s="46">
        <f t="shared" si="8"/>
        <v>0</v>
      </c>
      <c r="K80" s="701"/>
    </row>
    <row r="81" spans="1:11" x14ac:dyDescent="0.2">
      <c r="A81" s="713"/>
      <c r="B81" s="721"/>
      <c r="C81" s="45" t="s">
        <v>131</v>
      </c>
      <c r="D81" s="53">
        <f t="shared" si="9"/>
        <v>0</v>
      </c>
      <c r="E81" s="54">
        <f t="shared" si="9"/>
        <v>0</v>
      </c>
      <c r="F81" s="54">
        <f t="shared" si="9"/>
        <v>0</v>
      </c>
      <c r="G81" s="54">
        <f t="shared" si="9"/>
        <v>0</v>
      </c>
      <c r="H81" s="54">
        <f t="shared" si="9"/>
        <v>0</v>
      </c>
      <c r="I81" s="54">
        <f t="shared" si="9"/>
        <v>0</v>
      </c>
      <c r="J81" s="46">
        <f t="shared" si="8"/>
        <v>0</v>
      </c>
      <c r="K81" s="701"/>
    </row>
    <row r="82" spans="1:11" x14ac:dyDescent="0.2">
      <c r="A82" s="713"/>
      <c r="B82" s="721"/>
      <c r="C82" s="45" t="s">
        <v>133</v>
      </c>
      <c r="D82" s="53">
        <f t="shared" si="9"/>
        <v>0</v>
      </c>
      <c r="E82" s="54">
        <f t="shared" si="9"/>
        <v>0</v>
      </c>
      <c r="F82" s="54">
        <f t="shared" si="9"/>
        <v>0</v>
      </c>
      <c r="G82" s="54">
        <f t="shared" si="9"/>
        <v>0</v>
      </c>
      <c r="H82" s="54">
        <f t="shared" si="9"/>
        <v>0</v>
      </c>
      <c r="I82" s="54">
        <f t="shared" si="9"/>
        <v>0</v>
      </c>
      <c r="J82" s="46">
        <f t="shared" si="8"/>
        <v>0</v>
      </c>
      <c r="K82" s="701"/>
    </row>
    <row r="83" spans="1:11" x14ac:dyDescent="0.2">
      <c r="A83" s="713"/>
      <c r="B83" s="721"/>
      <c r="C83" s="45" t="s">
        <v>108</v>
      </c>
      <c r="D83" s="53">
        <f t="shared" si="9"/>
        <v>0</v>
      </c>
      <c r="E83" s="54">
        <f t="shared" si="9"/>
        <v>0</v>
      </c>
      <c r="F83" s="54">
        <f t="shared" si="9"/>
        <v>0</v>
      </c>
      <c r="G83" s="54">
        <f t="shared" si="9"/>
        <v>0</v>
      </c>
      <c r="H83" s="54">
        <f t="shared" si="9"/>
        <v>0</v>
      </c>
      <c r="I83" s="54">
        <f t="shared" si="9"/>
        <v>0</v>
      </c>
      <c r="J83" s="46">
        <f t="shared" si="8"/>
        <v>0</v>
      </c>
      <c r="K83" s="701"/>
    </row>
    <row r="84" spans="1:11" x14ac:dyDescent="0.2">
      <c r="A84" s="713"/>
      <c r="B84" s="721"/>
      <c r="C84" s="45" t="s">
        <v>52</v>
      </c>
      <c r="D84" s="53">
        <f t="shared" si="9"/>
        <v>0</v>
      </c>
      <c r="E84" s="54">
        <f t="shared" si="9"/>
        <v>0</v>
      </c>
      <c r="F84" s="54">
        <f t="shared" si="9"/>
        <v>0</v>
      </c>
      <c r="G84" s="54">
        <f t="shared" si="9"/>
        <v>0</v>
      </c>
      <c r="H84" s="54">
        <f t="shared" si="9"/>
        <v>0</v>
      </c>
      <c r="I84" s="54">
        <f t="shared" si="9"/>
        <v>0</v>
      </c>
      <c r="J84" s="46">
        <f t="shared" si="8"/>
        <v>0</v>
      </c>
      <c r="K84" s="701"/>
    </row>
    <row r="85" spans="1:11" ht="13.5" thickBot="1" x14ac:dyDescent="0.25">
      <c r="A85" s="714"/>
      <c r="B85" s="764"/>
      <c r="C85" s="39" t="s">
        <v>114</v>
      </c>
      <c r="D85" s="40">
        <f t="shared" ref="D85:I85" si="10">SUM(D75:D84)</f>
        <v>0</v>
      </c>
      <c r="E85" s="40">
        <f t="shared" si="10"/>
        <v>0</v>
      </c>
      <c r="F85" s="40">
        <f t="shared" si="10"/>
        <v>0</v>
      </c>
      <c r="G85" s="40">
        <f t="shared" si="10"/>
        <v>0</v>
      </c>
      <c r="H85" s="40">
        <f t="shared" si="10"/>
        <v>0</v>
      </c>
      <c r="I85" s="40">
        <f t="shared" si="10"/>
        <v>0</v>
      </c>
      <c r="J85" s="42">
        <f t="shared" si="8"/>
        <v>0</v>
      </c>
      <c r="K85" s="702"/>
    </row>
    <row r="86" spans="1:11" ht="13.5" thickTop="1" x14ac:dyDescent="0.2"/>
  </sheetData>
  <sheetProtection password="E686" sheet="1" objects="1" scenarios="1"/>
  <mergeCells count="18">
    <mergeCell ref="B42:B52"/>
    <mergeCell ref="B53:B63"/>
    <mergeCell ref="B64:B74"/>
    <mergeCell ref="B75:B85"/>
    <mergeCell ref="A1:C8"/>
    <mergeCell ref="A9:A85"/>
    <mergeCell ref="B9:B19"/>
    <mergeCell ref="B20:B30"/>
    <mergeCell ref="B31:B41"/>
    <mergeCell ref="D1:J4"/>
    <mergeCell ref="K1:K85"/>
    <mergeCell ref="D5:D8"/>
    <mergeCell ref="E5:E8"/>
    <mergeCell ref="F5:F8"/>
    <mergeCell ref="G5:G8"/>
    <mergeCell ref="H5:H8"/>
    <mergeCell ref="I5:I8"/>
    <mergeCell ref="J5:J8"/>
  </mergeCells>
  <conditionalFormatting sqref="K1">
    <cfRule type="cellIs" dxfId="46" priority="1" operator="equal">
      <formula>"The total amount for which you have budgeted does not match the unconsolidated portion of the LEA's Title III, Part A allocation."</formula>
    </cfRule>
  </conditionalFormatting>
  <pageMargins left="0.75" right="0.75" top="1" bottom="1" header="0.5" footer="0.5"/>
  <pageSetup scale="57" orientation="portrait" r:id="rId1"/>
  <headerFooter alignWithMargins="0">
    <oddHeader>&amp;LFFY 2012 Consolidated Application&amp;C&amp;A&amp;R&amp;P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38"/>
  <sheetViews>
    <sheetView zoomScale="90" zoomScaleNormal="90" workbookViewId="0">
      <selection activeCell="B12" sqref="B12"/>
    </sheetView>
  </sheetViews>
  <sheetFormatPr defaultColWidth="9.140625" defaultRowHeight="12.75" customHeight="1" x14ac:dyDescent="0.2"/>
  <cols>
    <col min="1" max="10" width="15.7109375" style="2" customWidth="1"/>
    <col min="11" max="12" width="0" style="2" hidden="1" customWidth="1"/>
    <col min="13" max="16384" width="9.140625" style="2"/>
  </cols>
  <sheetData>
    <row r="1" spans="1:10" ht="12.75" customHeight="1" thickTop="1" x14ac:dyDescent="0.2">
      <c r="A1" s="808" t="s">
        <v>256</v>
      </c>
      <c r="B1" s="809"/>
      <c r="C1" s="809"/>
      <c r="D1" s="809"/>
      <c r="E1" s="809"/>
      <c r="F1" s="809"/>
      <c r="G1" s="809"/>
      <c r="H1" s="809"/>
      <c r="I1" s="809"/>
      <c r="J1" s="810"/>
    </row>
    <row r="2" spans="1:10" ht="12.75" customHeight="1" x14ac:dyDescent="0.2">
      <c r="A2" s="811"/>
      <c r="B2" s="812"/>
      <c r="C2" s="812"/>
      <c r="D2" s="812"/>
      <c r="E2" s="812"/>
      <c r="F2" s="812"/>
      <c r="G2" s="812"/>
      <c r="H2" s="812"/>
      <c r="I2" s="812"/>
      <c r="J2" s="813"/>
    </row>
    <row r="3" spans="1:10" ht="12.75" customHeight="1" x14ac:dyDescent="0.2">
      <c r="A3" s="814" t="s">
        <v>24</v>
      </c>
      <c r="B3" s="516"/>
      <c r="C3" s="516"/>
      <c r="D3" s="516"/>
      <c r="E3" s="516"/>
      <c r="F3" s="516"/>
      <c r="G3" s="516"/>
      <c r="H3" s="516"/>
      <c r="I3" s="516"/>
      <c r="J3" s="815"/>
    </row>
    <row r="4" spans="1:10" ht="12.75" customHeight="1" x14ac:dyDescent="0.2">
      <c r="A4" s="816"/>
      <c r="B4" s="522"/>
      <c r="C4" s="522"/>
      <c r="D4" s="522"/>
      <c r="E4" s="522"/>
      <c r="F4" s="522"/>
      <c r="G4" s="522"/>
      <c r="H4" s="522"/>
      <c r="I4" s="522"/>
      <c r="J4" s="817"/>
    </row>
    <row r="5" spans="1:10" s="146" customFormat="1" x14ac:dyDescent="0.2">
      <c r="A5" s="164"/>
      <c r="B5" s="163"/>
      <c r="C5" s="160"/>
      <c r="D5" s="162"/>
      <c r="E5" s="162"/>
      <c r="F5" s="162"/>
      <c r="G5" s="162"/>
      <c r="H5" s="161"/>
      <c r="I5" s="160"/>
      <c r="J5" s="159"/>
    </row>
    <row r="6" spans="1:10" s="146" customFormat="1" ht="25.5" customHeight="1" x14ac:dyDescent="0.2">
      <c r="A6" s="602" t="s">
        <v>108</v>
      </c>
      <c r="B6" s="603"/>
      <c r="C6" s="603"/>
      <c r="D6" s="603"/>
      <c r="E6" s="603"/>
      <c r="F6" s="603"/>
      <c r="G6" s="603"/>
      <c r="H6" s="603"/>
      <c r="I6" s="603"/>
      <c r="J6" s="604"/>
    </row>
    <row r="7" spans="1:10" x14ac:dyDescent="0.2">
      <c r="A7" s="145"/>
      <c r="B7" s="144"/>
      <c r="C7" s="144"/>
      <c r="D7" s="144"/>
      <c r="E7" s="144"/>
      <c r="F7" s="144"/>
      <c r="G7" s="144"/>
      <c r="H7" s="144"/>
      <c r="I7" s="144"/>
      <c r="J7" s="143"/>
    </row>
    <row r="8" spans="1:10" ht="18.75" customHeight="1" x14ac:dyDescent="0.25">
      <c r="A8" s="142"/>
      <c r="B8" s="818" t="s">
        <v>230</v>
      </c>
      <c r="C8" s="818"/>
      <c r="D8" s="818"/>
      <c r="E8" s="818"/>
      <c r="F8" s="818"/>
      <c r="G8" s="818"/>
      <c r="H8" s="818"/>
      <c r="I8" s="818"/>
      <c r="J8" s="819"/>
    </row>
    <row r="9" spans="1:10" ht="12.75" customHeight="1" x14ac:dyDescent="0.2">
      <c r="A9" s="138"/>
      <c r="B9" s="141"/>
      <c r="C9" s="136"/>
      <c r="D9" s="136"/>
      <c r="E9" s="136"/>
      <c r="F9" s="136"/>
      <c r="G9" s="136"/>
      <c r="H9" s="136"/>
      <c r="I9" s="136"/>
      <c r="J9" s="140"/>
    </row>
    <row r="10" spans="1:10" ht="12.75" customHeight="1" x14ac:dyDescent="0.2">
      <c r="A10" s="138"/>
      <c r="B10" s="820" t="s">
        <v>239</v>
      </c>
      <c r="C10" s="820"/>
      <c r="D10" s="136"/>
      <c r="E10" s="136"/>
      <c r="F10" s="136"/>
      <c r="G10" s="136"/>
      <c r="H10" s="136"/>
      <c r="I10" s="136"/>
      <c r="J10" s="140"/>
    </row>
    <row r="11" spans="1:10" ht="12.6" customHeight="1" thickBot="1" x14ac:dyDescent="0.25">
      <c r="A11" s="138"/>
      <c r="B11" s="158"/>
      <c r="C11" s="158"/>
      <c r="D11" s="136"/>
      <c r="E11" s="136"/>
      <c r="F11" s="136"/>
      <c r="G11" s="136"/>
      <c r="H11" s="136"/>
      <c r="I11" s="136"/>
      <c r="J11" s="140"/>
    </row>
    <row r="12" spans="1:10" ht="16.899999999999999" customHeight="1" thickBot="1" x14ac:dyDescent="0.25">
      <c r="A12" s="138"/>
      <c r="B12" s="139"/>
      <c r="C12" s="136"/>
      <c r="D12" s="807" t="s">
        <v>231</v>
      </c>
      <c r="E12" s="807"/>
      <c r="F12" s="807"/>
      <c r="G12" s="807"/>
      <c r="H12" s="807"/>
      <c r="I12" s="807"/>
      <c r="J12" s="135"/>
    </row>
    <row r="13" spans="1:10" ht="12.75" customHeight="1" x14ac:dyDescent="0.2">
      <c r="A13" s="138"/>
      <c r="B13" s="137"/>
      <c r="C13" s="136"/>
      <c r="D13" s="807"/>
      <c r="E13" s="807"/>
      <c r="F13" s="807"/>
      <c r="G13" s="807"/>
      <c r="H13" s="807"/>
      <c r="I13" s="807"/>
      <c r="J13" s="135"/>
    </row>
    <row r="14" spans="1:10" ht="12.75" customHeight="1" x14ac:dyDescent="0.2">
      <c r="A14" s="138"/>
      <c r="B14" s="147"/>
      <c r="C14" s="136"/>
      <c r="D14" s="807"/>
      <c r="E14" s="807"/>
      <c r="F14" s="807"/>
      <c r="G14" s="807"/>
      <c r="H14" s="807"/>
      <c r="I14" s="807"/>
      <c r="J14" s="135"/>
    </row>
    <row r="15" spans="1:10" ht="12.75" customHeight="1" x14ac:dyDescent="0.2">
      <c r="A15" s="138"/>
      <c r="B15" s="147"/>
      <c r="C15" s="136"/>
      <c r="D15" s="807"/>
      <c r="E15" s="807"/>
      <c r="F15" s="807"/>
      <c r="G15" s="807"/>
      <c r="H15" s="807"/>
      <c r="I15" s="807"/>
      <c r="J15" s="135"/>
    </row>
    <row r="16" spans="1:10" ht="12.75" customHeight="1" x14ac:dyDescent="0.2">
      <c r="A16" s="138"/>
      <c r="B16" s="147"/>
      <c r="C16" s="136"/>
      <c r="D16" s="807"/>
      <c r="E16" s="807"/>
      <c r="F16" s="807"/>
      <c r="G16" s="807"/>
      <c r="H16" s="807"/>
      <c r="I16" s="807"/>
      <c r="J16" s="135"/>
    </row>
    <row r="17" spans="1:10" x14ac:dyDescent="0.2">
      <c r="A17" s="138"/>
      <c r="B17" s="137"/>
      <c r="C17" s="136"/>
      <c r="D17" s="147"/>
      <c r="E17" s="147"/>
      <c r="F17" s="147"/>
      <c r="G17" s="147"/>
      <c r="H17" s="147"/>
      <c r="I17" s="147"/>
      <c r="J17" s="135"/>
    </row>
    <row r="18" spans="1:10" ht="12.75" customHeight="1" thickBot="1" x14ac:dyDescent="0.25">
      <c r="A18" s="138"/>
      <c r="B18" s="147"/>
      <c r="C18" s="136"/>
      <c r="D18" s="803" t="s">
        <v>232</v>
      </c>
      <c r="E18" s="803"/>
      <c r="F18" s="803"/>
      <c r="G18" s="803"/>
      <c r="H18" s="803"/>
      <c r="I18" s="157"/>
      <c r="J18" s="156"/>
    </row>
    <row r="19" spans="1:10" ht="13.5" thickBot="1" x14ac:dyDescent="0.25">
      <c r="A19" s="138"/>
      <c r="B19" s="137"/>
      <c r="C19" s="136"/>
      <c r="D19" s="804"/>
      <c r="E19" s="805"/>
      <c r="F19" s="805"/>
      <c r="G19" s="805"/>
      <c r="H19" s="805"/>
      <c r="I19" s="806"/>
      <c r="J19" s="135"/>
    </row>
    <row r="20" spans="1:10" ht="12.75" customHeight="1" x14ac:dyDescent="0.2">
      <c r="A20" s="138"/>
      <c r="B20" s="147"/>
      <c r="C20" s="136"/>
      <c r="D20" s="807" t="s">
        <v>233</v>
      </c>
      <c r="E20" s="807"/>
      <c r="F20" s="807"/>
      <c r="G20" s="807"/>
      <c r="H20" s="807"/>
      <c r="I20" s="807"/>
      <c r="J20" s="135"/>
    </row>
    <row r="21" spans="1:10" ht="13.5" thickBot="1" x14ac:dyDescent="0.25">
      <c r="A21" s="138"/>
      <c r="B21" s="137"/>
      <c r="C21" s="136"/>
      <c r="D21" s="155"/>
      <c r="E21" s="136"/>
      <c r="F21" s="136"/>
      <c r="G21" s="136"/>
      <c r="H21" s="136"/>
      <c r="I21" s="136"/>
      <c r="J21" s="140"/>
    </row>
    <row r="22" spans="1:10" ht="12.75" customHeight="1" thickBot="1" x14ac:dyDescent="0.25">
      <c r="A22" s="138"/>
      <c r="B22" s="139"/>
      <c r="C22" s="136"/>
      <c r="D22" s="807" t="s">
        <v>234</v>
      </c>
      <c r="E22" s="807"/>
      <c r="F22" s="807"/>
      <c r="G22" s="807"/>
      <c r="H22" s="807"/>
      <c r="I22" s="807"/>
      <c r="J22" s="135"/>
    </row>
    <row r="23" spans="1:10" x14ac:dyDescent="0.2">
      <c r="A23" s="138"/>
      <c r="B23" s="137"/>
      <c r="C23" s="136"/>
      <c r="D23" s="807"/>
      <c r="E23" s="807"/>
      <c r="F23" s="807"/>
      <c r="G23" s="807"/>
      <c r="H23" s="807"/>
      <c r="I23" s="807"/>
      <c r="J23" s="135"/>
    </row>
    <row r="24" spans="1:10" ht="13.5" thickBot="1" x14ac:dyDescent="0.25">
      <c r="A24" s="138"/>
      <c r="B24" s="137"/>
      <c r="C24" s="136"/>
      <c r="D24" s="147"/>
      <c r="E24" s="147"/>
      <c r="F24" s="147"/>
      <c r="G24" s="147"/>
      <c r="H24" s="147"/>
      <c r="I24" s="147"/>
      <c r="J24" s="135"/>
    </row>
    <row r="25" spans="1:10" ht="12.75" customHeight="1" thickBot="1" x14ac:dyDescent="0.25">
      <c r="A25" s="138"/>
      <c r="B25" s="154"/>
      <c r="C25" s="136"/>
      <c r="D25" s="803" t="s">
        <v>235</v>
      </c>
      <c r="E25" s="803"/>
      <c r="F25" s="803"/>
      <c r="G25" s="803"/>
      <c r="H25" s="803"/>
      <c r="I25" s="803"/>
      <c r="J25" s="156"/>
    </row>
    <row r="26" spans="1:10" ht="12.75" customHeight="1" x14ac:dyDescent="0.2">
      <c r="A26" s="138"/>
      <c r="B26" s="137"/>
      <c r="C26" s="136"/>
      <c r="D26" s="803"/>
      <c r="E26" s="803"/>
      <c r="F26" s="803"/>
      <c r="G26" s="803"/>
      <c r="H26" s="803"/>
      <c r="I26" s="803"/>
      <c r="J26" s="156"/>
    </row>
    <row r="27" spans="1:10" x14ac:dyDescent="0.2">
      <c r="A27" s="138"/>
      <c r="B27" s="137"/>
      <c r="C27" s="136"/>
      <c r="D27" s="803"/>
      <c r="E27" s="803"/>
      <c r="F27" s="803"/>
      <c r="G27" s="803"/>
      <c r="H27" s="803"/>
      <c r="I27" s="803"/>
      <c r="J27" s="135"/>
    </row>
    <row r="28" spans="1:10" x14ac:dyDescent="0.2">
      <c r="A28" s="138"/>
      <c r="B28" s="137"/>
      <c r="C28" s="136"/>
      <c r="D28" s="157"/>
      <c r="E28" s="157"/>
      <c r="F28" s="157"/>
      <c r="G28" s="157"/>
      <c r="H28" s="157"/>
      <c r="I28" s="157"/>
      <c r="J28" s="135"/>
    </row>
    <row r="29" spans="1:10" s="146" customFormat="1" ht="12.75" customHeight="1" x14ac:dyDescent="0.2">
      <c r="A29" s="153"/>
      <c r="B29" s="821" t="s">
        <v>243</v>
      </c>
      <c r="C29" s="821"/>
      <c r="D29" s="821"/>
      <c r="E29" s="821"/>
      <c r="F29" s="822"/>
      <c r="G29" s="822"/>
      <c r="H29" s="822"/>
      <c r="I29" s="822"/>
      <c r="J29" s="823"/>
    </row>
    <row r="30" spans="1:10" ht="12.75" customHeight="1" x14ac:dyDescent="0.2">
      <c r="A30" s="138"/>
      <c r="B30" s="824" t="s">
        <v>148</v>
      </c>
      <c r="C30" s="824"/>
      <c r="D30" s="824"/>
      <c r="E30" s="824"/>
      <c r="F30" s="824"/>
      <c r="G30" s="824"/>
      <c r="H30" s="824"/>
      <c r="I30" s="824"/>
      <c r="J30" s="825"/>
    </row>
    <row r="31" spans="1:10" ht="12.75" customHeight="1" x14ac:dyDescent="0.2">
      <c r="A31" s="138"/>
      <c r="B31" s="824"/>
      <c r="C31" s="824"/>
      <c r="D31" s="824"/>
      <c r="E31" s="824"/>
      <c r="F31" s="824"/>
      <c r="G31" s="824"/>
      <c r="H31" s="824"/>
      <c r="I31" s="824"/>
      <c r="J31" s="825"/>
    </row>
    <row r="32" spans="1:10" ht="12.75" customHeight="1" x14ac:dyDescent="0.2">
      <c r="A32" s="138"/>
      <c r="B32" s="826"/>
      <c r="C32" s="827"/>
      <c r="D32" s="827"/>
      <c r="E32" s="827"/>
      <c r="F32" s="827"/>
      <c r="G32" s="827"/>
      <c r="H32" s="827"/>
      <c r="I32" s="827"/>
      <c r="J32" s="828"/>
    </row>
    <row r="33" spans="1:10" ht="12.75" customHeight="1" x14ac:dyDescent="0.2">
      <c r="A33" s="138"/>
      <c r="B33" s="829"/>
      <c r="C33" s="830"/>
      <c r="D33" s="830"/>
      <c r="E33" s="830"/>
      <c r="F33" s="830"/>
      <c r="G33" s="830"/>
      <c r="H33" s="830"/>
      <c r="I33" s="830"/>
      <c r="J33" s="831"/>
    </row>
    <row r="34" spans="1:10" ht="12.75" customHeight="1" x14ac:dyDescent="0.2">
      <c r="A34" s="138"/>
      <c r="B34" s="829"/>
      <c r="C34" s="830"/>
      <c r="D34" s="830"/>
      <c r="E34" s="830"/>
      <c r="F34" s="830"/>
      <c r="G34" s="830"/>
      <c r="H34" s="830"/>
      <c r="I34" s="830"/>
      <c r="J34" s="831"/>
    </row>
    <row r="35" spans="1:10" ht="12.75" customHeight="1" x14ac:dyDescent="0.2">
      <c r="A35" s="138"/>
      <c r="B35" s="829"/>
      <c r="C35" s="830"/>
      <c r="D35" s="830"/>
      <c r="E35" s="830"/>
      <c r="F35" s="830"/>
      <c r="G35" s="830"/>
      <c r="H35" s="830"/>
      <c r="I35" s="830"/>
      <c r="J35" s="831"/>
    </row>
    <row r="36" spans="1:10" ht="12.75" customHeight="1" x14ac:dyDescent="0.2">
      <c r="A36" s="138"/>
      <c r="B36" s="829"/>
      <c r="C36" s="830"/>
      <c r="D36" s="830"/>
      <c r="E36" s="830"/>
      <c r="F36" s="830"/>
      <c r="G36" s="830"/>
      <c r="H36" s="830"/>
      <c r="I36" s="830"/>
      <c r="J36" s="831"/>
    </row>
    <row r="37" spans="1:10" ht="12.75" customHeight="1" x14ac:dyDescent="0.2">
      <c r="A37" s="138"/>
      <c r="B37" s="829"/>
      <c r="C37" s="830"/>
      <c r="D37" s="830"/>
      <c r="E37" s="830"/>
      <c r="F37" s="830"/>
      <c r="G37" s="830"/>
      <c r="H37" s="830"/>
      <c r="I37" s="830"/>
      <c r="J37" s="831"/>
    </row>
    <row r="38" spans="1:10" ht="12.75" customHeight="1" x14ac:dyDescent="0.2">
      <c r="A38" s="138"/>
      <c r="B38" s="829"/>
      <c r="C38" s="830"/>
      <c r="D38" s="830"/>
      <c r="E38" s="830"/>
      <c r="F38" s="830"/>
      <c r="G38" s="830"/>
      <c r="H38" s="830"/>
      <c r="I38" s="830"/>
      <c r="J38" s="831"/>
    </row>
    <row r="39" spans="1:10" ht="12.75" customHeight="1" x14ac:dyDescent="0.2">
      <c r="A39" s="138"/>
      <c r="B39" s="829"/>
      <c r="C39" s="830"/>
      <c r="D39" s="830"/>
      <c r="E39" s="830"/>
      <c r="F39" s="830"/>
      <c r="G39" s="830"/>
      <c r="H39" s="830"/>
      <c r="I39" s="830"/>
      <c r="J39" s="831"/>
    </row>
    <row r="40" spans="1:10" ht="12.75" customHeight="1" x14ac:dyDescent="0.2">
      <c r="A40" s="138"/>
      <c r="B40" s="829"/>
      <c r="C40" s="830"/>
      <c r="D40" s="830"/>
      <c r="E40" s="830"/>
      <c r="F40" s="830"/>
      <c r="G40" s="830"/>
      <c r="H40" s="830"/>
      <c r="I40" s="830"/>
      <c r="J40" s="831"/>
    </row>
    <row r="41" spans="1:10" ht="12.75" customHeight="1" x14ac:dyDescent="0.2">
      <c r="A41" s="138"/>
      <c r="B41" s="832"/>
      <c r="C41" s="833"/>
      <c r="D41" s="833"/>
      <c r="E41" s="833"/>
      <c r="F41" s="833"/>
      <c r="G41" s="833"/>
      <c r="H41" s="833"/>
      <c r="I41" s="833"/>
      <c r="J41" s="834"/>
    </row>
    <row r="42" spans="1:10" ht="12.75" customHeight="1" x14ac:dyDescent="0.2">
      <c r="A42" s="138"/>
      <c r="B42" s="136"/>
      <c r="C42" s="136"/>
      <c r="D42" s="136"/>
      <c r="E42" s="136"/>
      <c r="F42" s="136"/>
      <c r="G42" s="136"/>
      <c r="H42" s="136"/>
      <c r="I42" s="136"/>
      <c r="J42" s="140"/>
    </row>
    <row r="43" spans="1:10" ht="12.75" customHeight="1" x14ac:dyDescent="0.2">
      <c r="A43" s="138"/>
      <c r="B43" s="820" t="s">
        <v>241</v>
      </c>
      <c r="C43" s="820"/>
      <c r="D43" s="136"/>
      <c r="E43" s="136"/>
      <c r="F43" s="136"/>
      <c r="G43" s="136"/>
      <c r="H43" s="136"/>
      <c r="I43" s="136"/>
      <c r="J43" s="140"/>
    </row>
    <row r="44" spans="1:10" ht="12.75" customHeight="1" thickBot="1" x14ac:dyDescent="0.25">
      <c r="A44" s="138"/>
      <c r="B44" s="158"/>
      <c r="C44" s="158"/>
      <c r="D44" s="136"/>
      <c r="E44" s="136"/>
      <c r="F44" s="136"/>
      <c r="G44" s="136"/>
      <c r="H44" s="136"/>
      <c r="I44" s="136"/>
      <c r="J44" s="140"/>
    </row>
    <row r="45" spans="1:10" ht="12.75" customHeight="1" thickBot="1" x14ac:dyDescent="0.25">
      <c r="A45" s="138"/>
      <c r="B45" s="139"/>
      <c r="C45" s="136"/>
      <c r="D45" s="807" t="s">
        <v>237</v>
      </c>
      <c r="E45" s="807"/>
      <c r="F45" s="807"/>
      <c r="G45" s="807"/>
      <c r="H45" s="807"/>
      <c r="I45" s="807"/>
      <c r="J45" s="135"/>
    </row>
    <row r="46" spans="1:10" ht="12.75" customHeight="1" x14ac:dyDescent="0.2">
      <c r="A46" s="138"/>
      <c r="B46" s="137"/>
      <c r="C46" s="136"/>
      <c r="D46" s="807"/>
      <c r="E46" s="807"/>
      <c r="F46" s="807"/>
      <c r="G46" s="807"/>
      <c r="H46" s="807"/>
      <c r="I46" s="807"/>
      <c r="J46" s="135"/>
    </row>
    <row r="47" spans="1:10" ht="12.75" customHeight="1" x14ac:dyDescent="0.2">
      <c r="A47" s="138"/>
      <c r="B47" s="147"/>
      <c r="C47" s="136"/>
      <c r="D47" s="807"/>
      <c r="E47" s="807"/>
      <c r="F47" s="807"/>
      <c r="G47" s="807"/>
      <c r="H47" s="807"/>
      <c r="I47" s="807"/>
      <c r="J47" s="135"/>
    </row>
    <row r="48" spans="1:10" ht="12.75" customHeight="1" x14ac:dyDescent="0.2">
      <c r="A48" s="138"/>
      <c r="B48" s="147"/>
      <c r="C48" s="136"/>
      <c r="D48" s="807"/>
      <c r="E48" s="807"/>
      <c r="F48" s="807"/>
      <c r="G48" s="807"/>
      <c r="H48" s="807"/>
      <c r="I48" s="807"/>
      <c r="J48" s="135"/>
    </row>
    <row r="49" spans="1:10" ht="18.600000000000001" customHeight="1" x14ac:dyDescent="0.2">
      <c r="A49" s="138"/>
      <c r="B49" s="147"/>
      <c r="C49" s="136"/>
      <c r="D49" s="807"/>
      <c r="E49" s="807"/>
      <c r="F49" s="807"/>
      <c r="G49" s="807"/>
      <c r="H49" s="807"/>
      <c r="I49" s="807"/>
      <c r="J49" s="135"/>
    </row>
    <row r="50" spans="1:10" ht="12.75" customHeight="1" x14ac:dyDescent="0.2">
      <c r="A50" s="138"/>
      <c r="B50" s="147"/>
      <c r="C50" s="136"/>
      <c r="D50" s="147"/>
      <c r="E50" s="147"/>
      <c r="F50" s="147"/>
      <c r="G50" s="147"/>
      <c r="H50" s="147"/>
      <c r="I50" s="147"/>
      <c r="J50" s="135"/>
    </row>
    <row r="51" spans="1:10" ht="12.75" customHeight="1" thickBot="1" x14ac:dyDescent="0.25">
      <c r="A51" s="138"/>
      <c r="B51" s="147"/>
      <c r="C51" s="136"/>
      <c r="D51" s="803" t="s">
        <v>232</v>
      </c>
      <c r="E51" s="803"/>
      <c r="F51" s="803"/>
      <c r="G51" s="803"/>
      <c r="H51" s="803"/>
      <c r="I51" s="157"/>
      <c r="J51" s="156"/>
    </row>
    <row r="52" spans="1:10" ht="13.5" thickBot="1" x14ac:dyDescent="0.25">
      <c r="A52" s="138"/>
      <c r="B52" s="137"/>
      <c r="C52" s="136"/>
      <c r="D52" s="804"/>
      <c r="E52" s="805"/>
      <c r="F52" s="805"/>
      <c r="G52" s="805"/>
      <c r="H52" s="805"/>
      <c r="I52" s="806"/>
      <c r="J52" s="135"/>
    </row>
    <row r="53" spans="1:10" ht="12.75" customHeight="1" x14ac:dyDescent="0.2">
      <c r="A53" s="138"/>
      <c r="B53" s="147"/>
      <c r="C53" s="136"/>
      <c r="D53" s="807" t="s">
        <v>233</v>
      </c>
      <c r="E53" s="807"/>
      <c r="F53" s="807"/>
      <c r="G53" s="807"/>
      <c r="H53" s="807"/>
      <c r="I53" s="807"/>
      <c r="J53" s="135"/>
    </row>
    <row r="54" spans="1:10" ht="13.5" thickBot="1" x14ac:dyDescent="0.25">
      <c r="A54" s="138"/>
      <c r="B54" s="137"/>
      <c r="C54" s="136"/>
      <c r="D54" s="155"/>
      <c r="E54" s="136"/>
      <c r="F54" s="136"/>
      <c r="G54" s="136"/>
      <c r="H54" s="136"/>
      <c r="I54" s="136"/>
      <c r="J54" s="140"/>
    </row>
    <row r="55" spans="1:10" ht="12.75" customHeight="1" thickBot="1" x14ac:dyDescent="0.25">
      <c r="A55" s="138"/>
      <c r="B55" s="154"/>
      <c r="C55" s="136"/>
      <c r="D55" s="807" t="s">
        <v>236</v>
      </c>
      <c r="E55" s="807"/>
      <c r="F55" s="807"/>
      <c r="G55" s="807"/>
      <c r="H55" s="807"/>
      <c r="I55" s="807"/>
      <c r="J55" s="135"/>
    </row>
    <row r="56" spans="1:10" x14ac:dyDescent="0.2">
      <c r="A56" s="138"/>
      <c r="B56" s="137"/>
      <c r="C56" s="136"/>
      <c r="D56" s="807"/>
      <c r="E56" s="807"/>
      <c r="F56" s="807"/>
      <c r="G56" s="807"/>
      <c r="H56" s="807"/>
      <c r="I56" s="807"/>
      <c r="J56" s="140"/>
    </row>
    <row r="57" spans="1:10" x14ac:dyDescent="0.2">
      <c r="A57" s="138"/>
      <c r="B57" s="137"/>
      <c r="C57" s="136"/>
      <c r="D57" s="147"/>
      <c r="E57" s="147"/>
      <c r="F57" s="147"/>
      <c r="G57" s="147"/>
      <c r="H57" s="147"/>
      <c r="I57" s="147"/>
      <c r="J57" s="140"/>
    </row>
    <row r="58" spans="1:10" s="146" customFormat="1" ht="12.75" customHeight="1" x14ac:dyDescent="0.2">
      <c r="A58" s="153"/>
      <c r="B58" s="821" t="s">
        <v>244</v>
      </c>
      <c r="C58" s="821"/>
      <c r="D58" s="821"/>
      <c r="E58" s="821"/>
      <c r="F58" s="822"/>
      <c r="G58" s="822"/>
      <c r="H58" s="822"/>
      <c r="I58" s="822"/>
      <c r="J58" s="823"/>
    </row>
    <row r="59" spans="1:10" ht="12.75" customHeight="1" x14ac:dyDescent="0.2">
      <c r="A59" s="138"/>
      <c r="B59" s="824" t="s">
        <v>245</v>
      </c>
      <c r="C59" s="824"/>
      <c r="D59" s="824"/>
      <c r="E59" s="824"/>
      <c r="F59" s="824"/>
      <c r="G59" s="824"/>
      <c r="H59" s="824"/>
      <c r="I59" s="824"/>
      <c r="J59" s="825"/>
    </row>
    <row r="60" spans="1:10" ht="12.75" customHeight="1" x14ac:dyDescent="0.2">
      <c r="A60" s="138"/>
      <c r="B60" s="824"/>
      <c r="C60" s="824"/>
      <c r="D60" s="824"/>
      <c r="E60" s="824"/>
      <c r="F60" s="824"/>
      <c r="G60" s="824"/>
      <c r="H60" s="824"/>
      <c r="I60" s="824"/>
      <c r="J60" s="825"/>
    </row>
    <row r="61" spans="1:10" ht="12.75" customHeight="1" x14ac:dyDescent="0.2">
      <c r="A61" s="138"/>
      <c r="B61" s="826"/>
      <c r="C61" s="827"/>
      <c r="D61" s="827"/>
      <c r="E61" s="827"/>
      <c r="F61" s="827"/>
      <c r="G61" s="827"/>
      <c r="H61" s="827"/>
      <c r="I61" s="827"/>
      <c r="J61" s="828"/>
    </row>
    <row r="62" spans="1:10" ht="12.75" customHeight="1" x14ac:dyDescent="0.2">
      <c r="A62" s="138"/>
      <c r="B62" s="829"/>
      <c r="C62" s="830"/>
      <c r="D62" s="830"/>
      <c r="E62" s="830"/>
      <c r="F62" s="830"/>
      <c r="G62" s="830"/>
      <c r="H62" s="830"/>
      <c r="I62" s="830"/>
      <c r="J62" s="831"/>
    </row>
    <row r="63" spans="1:10" ht="12.75" customHeight="1" x14ac:dyDescent="0.2">
      <c r="A63" s="138"/>
      <c r="B63" s="829"/>
      <c r="C63" s="830"/>
      <c r="D63" s="830"/>
      <c r="E63" s="830"/>
      <c r="F63" s="830"/>
      <c r="G63" s="830"/>
      <c r="H63" s="830"/>
      <c r="I63" s="830"/>
      <c r="J63" s="831"/>
    </row>
    <row r="64" spans="1:10" ht="12.75" customHeight="1" x14ac:dyDescent="0.2">
      <c r="A64" s="138"/>
      <c r="B64" s="829"/>
      <c r="C64" s="830"/>
      <c r="D64" s="830"/>
      <c r="E64" s="830"/>
      <c r="F64" s="830"/>
      <c r="G64" s="830"/>
      <c r="H64" s="830"/>
      <c r="I64" s="830"/>
      <c r="J64" s="831"/>
    </row>
    <row r="65" spans="1:10" ht="12.75" customHeight="1" x14ac:dyDescent="0.2">
      <c r="A65" s="138"/>
      <c r="B65" s="829"/>
      <c r="C65" s="830"/>
      <c r="D65" s="830"/>
      <c r="E65" s="830"/>
      <c r="F65" s="830"/>
      <c r="G65" s="830"/>
      <c r="H65" s="830"/>
      <c r="I65" s="830"/>
      <c r="J65" s="831"/>
    </row>
    <row r="66" spans="1:10" ht="12.75" customHeight="1" x14ac:dyDescent="0.2">
      <c r="A66" s="138"/>
      <c r="B66" s="829"/>
      <c r="C66" s="830"/>
      <c r="D66" s="830"/>
      <c r="E66" s="830"/>
      <c r="F66" s="830"/>
      <c r="G66" s="830"/>
      <c r="H66" s="830"/>
      <c r="I66" s="830"/>
      <c r="J66" s="831"/>
    </row>
    <row r="67" spans="1:10" ht="12.75" customHeight="1" x14ac:dyDescent="0.2">
      <c r="A67" s="138"/>
      <c r="B67" s="829"/>
      <c r="C67" s="830"/>
      <c r="D67" s="830"/>
      <c r="E67" s="830"/>
      <c r="F67" s="830"/>
      <c r="G67" s="830"/>
      <c r="H67" s="830"/>
      <c r="I67" s="830"/>
      <c r="J67" s="831"/>
    </row>
    <row r="68" spans="1:10" ht="12.75" customHeight="1" x14ac:dyDescent="0.2">
      <c r="A68" s="138"/>
      <c r="B68" s="829"/>
      <c r="C68" s="830"/>
      <c r="D68" s="830"/>
      <c r="E68" s="830"/>
      <c r="F68" s="830"/>
      <c r="G68" s="830"/>
      <c r="H68" s="830"/>
      <c r="I68" s="830"/>
      <c r="J68" s="831"/>
    </row>
    <row r="69" spans="1:10" ht="12.75" customHeight="1" x14ac:dyDescent="0.2">
      <c r="A69" s="138"/>
      <c r="B69" s="829"/>
      <c r="C69" s="830"/>
      <c r="D69" s="830"/>
      <c r="E69" s="830"/>
      <c r="F69" s="830"/>
      <c r="G69" s="830"/>
      <c r="H69" s="830"/>
      <c r="I69" s="830"/>
      <c r="J69" s="831"/>
    </row>
    <row r="70" spans="1:10" ht="12.75" customHeight="1" x14ac:dyDescent="0.2">
      <c r="A70" s="138"/>
      <c r="B70" s="832"/>
      <c r="C70" s="833"/>
      <c r="D70" s="833"/>
      <c r="E70" s="833"/>
      <c r="F70" s="833"/>
      <c r="G70" s="833"/>
      <c r="H70" s="833"/>
      <c r="I70" s="833"/>
      <c r="J70" s="834"/>
    </row>
    <row r="71" spans="1:10" ht="12.75" customHeight="1" x14ac:dyDescent="0.2">
      <c r="A71" s="138"/>
      <c r="B71" s="136"/>
      <c r="C71" s="136"/>
      <c r="D71" s="136"/>
      <c r="E71" s="136"/>
      <c r="F71" s="136"/>
      <c r="G71" s="136"/>
      <c r="H71" s="136"/>
      <c r="I71" s="136"/>
      <c r="J71" s="140"/>
    </row>
    <row r="72" spans="1:10" ht="12.75" customHeight="1" x14ac:dyDescent="0.2">
      <c r="A72" s="138"/>
      <c r="B72" s="820" t="s">
        <v>238</v>
      </c>
      <c r="C72" s="820"/>
      <c r="D72" s="136"/>
      <c r="E72" s="136"/>
      <c r="F72" s="136"/>
      <c r="G72" s="136"/>
      <c r="H72" s="136"/>
      <c r="I72" s="136"/>
      <c r="J72" s="140"/>
    </row>
    <row r="73" spans="1:10" ht="12.75" customHeight="1" thickBot="1" x14ac:dyDescent="0.25">
      <c r="A73" s="138"/>
      <c r="B73" s="141"/>
      <c r="C73" s="136"/>
      <c r="D73" s="136"/>
      <c r="E73" s="136"/>
      <c r="F73" s="136"/>
      <c r="G73" s="136"/>
      <c r="H73" s="136"/>
      <c r="I73" s="136"/>
      <c r="J73" s="140"/>
    </row>
    <row r="74" spans="1:10" ht="12.75" customHeight="1" thickBot="1" x14ac:dyDescent="0.25">
      <c r="A74" s="138"/>
      <c r="B74" s="139"/>
      <c r="C74" s="136"/>
      <c r="D74" s="807" t="s">
        <v>240</v>
      </c>
      <c r="E74" s="807"/>
      <c r="F74" s="807"/>
      <c r="G74" s="807"/>
      <c r="H74" s="807"/>
      <c r="I74" s="807"/>
      <c r="J74" s="135"/>
    </row>
    <row r="75" spans="1:10" ht="12.75" customHeight="1" x14ac:dyDescent="0.2">
      <c r="A75" s="138"/>
      <c r="B75" s="137"/>
      <c r="C75" s="136"/>
      <c r="D75" s="807"/>
      <c r="E75" s="807"/>
      <c r="F75" s="807"/>
      <c r="G75" s="807"/>
      <c r="H75" s="807"/>
      <c r="I75" s="807"/>
      <c r="J75" s="135"/>
    </row>
    <row r="76" spans="1:10" ht="12.75" customHeight="1" x14ac:dyDescent="0.2">
      <c r="A76" s="138"/>
      <c r="B76" s="147"/>
      <c r="C76" s="136"/>
      <c r="D76" s="807"/>
      <c r="E76" s="807"/>
      <c r="F76" s="807"/>
      <c r="G76" s="807"/>
      <c r="H76" s="807"/>
      <c r="I76" s="807"/>
      <c r="J76" s="135"/>
    </row>
    <row r="77" spans="1:10" ht="13.15" customHeight="1" x14ac:dyDescent="0.2">
      <c r="A77" s="138"/>
      <c r="B77" s="147"/>
      <c r="C77" s="136"/>
      <c r="D77" s="807"/>
      <c r="E77" s="807"/>
      <c r="F77" s="807"/>
      <c r="G77" s="807"/>
      <c r="H77" s="807"/>
      <c r="I77" s="807"/>
      <c r="J77" s="135"/>
    </row>
    <row r="78" spans="1:10" ht="16.149999999999999" customHeight="1" x14ac:dyDescent="0.2">
      <c r="A78" s="138"/>
      <c r="B78" s="147"/>
      <c r="C78" s="136"/>
      <c r="D78" s="807"/>
      <c r="E78" s="807"/>
      <c r="F78" s="807"/>
      <c r="G78" s="807"/>
      <c r="H78" s="807"/>
      <c r="I78" s="807"/>
      <c r="J78" s="135"/>
    </row>
    <row r="79" spans="1:10" ht="12.75" customHeight="1" x14ac:dyDescent="0.2">
      <c r="A79" s="138"/>
      <c r="B79" s="147"/>
      <c r="C79" s="136"/>
      <c r="D79" s="147"/>
      <c r="E79" s="147"/>
      <c r="F79" s="147"/>
      <c r="G79" s="147"/>
      <c r="H79" s="147"/>
      <c r="I79" s="147"/>
      <c r="J79" s="135"/>
    </row>
    <row r="80" spans="1:10" ht="12.75" customHeight="1" thickBot="1" x14ac:dyDescent="0.25">
      <c r="A80" s="138"/>
      <c r="B80" s="147"/>
      <c r="C80" s="136"/>
      <c r="D80" s="803" t="s">
        <v>232</v>
      </c>
      <c r="E80" s="803"/>
      <c r="F80" s="803"/>
      <c r="G80" s="803"/>
      <c r="H80" s="803"/>
      <c r="I80" s="157"/>
      <c r="J80" s="156"/>
    </row>
    <row r="81" spans="1:10" ht="13.5" thickBot="1" x14ac:dyDescent="0.25">
      <c r="A81" s="138"/>
      <c r="B81" s="137"/>
      <c r="C81" s="136"/>
      <c r="D81" s="804"/>
      <c r="E81" s="805"/>
      <c r="F81" s="805"/>
      <c r="G81" s="805"/>
      <c r="H81" s="805"/>
      <c r="I81" s="806"/>
      <c r="J81" s="135"/>
    </row>
    <row r="82" spans="1:10" ht="12.75" customHeight="1" x14ac:dyDescent="0.2">
      <c r="A82" s="138"/>
      <c r="B82" s="147"/>
      <c r="C82" s="136"/>
      <c r="D82" s="807" t="s">
        <v>233</v>
      </c>
      <c r="E82" s="807"/>
      <c r="F82" s="807"/>
      <c r="G82" s="807"/>
      <c r="H82" s="807"/>
      <c r="I82" s="807"/>
      <c r="J82" s="135"/>
    </row>
    <row r="83" spans="1:10" ht="13.5" thickBot="1" x14ac:dyDescent="0.25">
      <c r="A83" s="138"/>
      <c r="B83" s="137"/>
      <c r="C83" s="136"/>
      <c r="D83" s="155"/>
      <c r="E83" s="136"/>
      <c r="F83" s="136"/>
      <c r="G83" s="136"/>
      <c r="H83" s="136"/>
      <c r="I83" s="136"/>
      <c r="J83" s="140"/>
    </row>
    <row r="84" spans="1:10" ht="12.75" customHeight="1" thickBot="1" x14ac:dyDescent="0.25">
      <c r="A84" s="138"/>
      <c r="B84" s="154"/>
      <c r="C84" s="136"/>
      <c r="D84" s="807" t="s">
        <v>242</v>
      </c>
      <c r="E84" s="807"/>
      <c r="F84" s="807"/>
      <c r="G84" s="807"/>
      <c r="H84" s="807"/>
      <c r="I84" s="807"/>
      <c r="J84" s="135"/>
    </row>
    <row r="85" spans="1:10" x14ac:dyDescent="0.2">
      <c r="A85" s="138"/>
      <c r="B85" s="137"/>
      <c r="C85" s="136"/>
      <c r="D85" s="807"/>
      <c r="E85" s="807"/>
      <c r="F85" s="807"/>
      <c r="G85" s="807"/>
      <c r="H85" s="807"/>
      <c r="I85" s="807"/>
      <c r="J85" s="140"/>
    </row>
    <row r="86" spans="1:10" x14ac:dyDescent="0.2">
      <c r="A86" s="138"/>
      <c r="B86" s="137"/>
      <c r="C86" s="136"/>
      <c r="D86" s="147"/>
      <c r="E86" s="147"/>
      <c r="F86" s="147"/>
      <c r="G86" s="147"/>
      <c r="H86" s="147"/>
      <c r="I86" s="147"/>
      <c r="J86" s="140"/>
    </row>
    <row r="87" spans="1:10" s="146" customFormat="1" ht="12.75" customHeight="1" x14ac:dyDescent="0.2">
      <c r="A87" s="153"/>
      <c r="B87" s="821" t="s">
        <v>246</v>
      </c>
      <c r="C87" s="821"/>
      <c r="D87" s="821"/>
      <c r="E87" s="821"/>
      <c r="F87" s="822"/>
      <c r="G87" s="822"/>
      <c r="H87" s="822"/>
      <c r="I87" s="822"/>
      <c r="J87" s="823"/>
    </row>
    <row r="88" spans="1:10" ht="12.75" customHeight="1" x14ac:dyDescent="0.2">
      <c r="A88" s="138"/>
      <c r="B88" s="824" t="s">
        <v>247</v>
      </c>
      <c r="C88" s="824"/>
      <c r="D88" s="824"/>
      <c r="E88" s="824"/>
      <c r="F88" s="824"/>
      <c r="G88" s="824"/>
      <c r="H88" s="824"/>
      <c r="I88" s="824"/>
      <c r="J88" s="825"/>
    </row>
    <row r="89" spans="1:10" ht="12.75" customHeight="1" x14ac:dyDescent="0.2">
      <c r="A89" s="138"/>
      <c r="B89" s="824"/>
      <c r="C89" s="824"/>
      <c r="D89" s="824"/>
      <c r="E89" s="824"/>
      <c r="F89" s="824"/>
      <c r="G89" s="824"/>
      <c r="H89" s="824"/>
      <c r="I89" s="824"/>
      <c r="J89" s="825"/>
    </row>
    <row r="90" spans="1:10" ht="12.75" customHeight="1" x14ac:dyDescent="0.2">
      <c r="A90" s="138"/>
      <c r="B90" s="826"/>
      <c r="C90" s="827"/>
      <c r="D90" s="827"/>
      <c r="E90" s="827"/>
      <c r="F90" s="827"/>
      <c r="G90" s="827"/>
      <c r="H90" s="827"/>
      <c r="I90" s="827"/>
      <c r="J90" s="828"/>
    </row>
    <row r="91" spans="1:10" ht="12.75" customHeight="1" x14ac:dyDescent="0.2">
      <c r="A91" s="138"/>
      <c r="B91" s="829"/>
      <c r="C91" s="830"/>
      <c r="D91" s="830"/>
      <c r="E91" s="830"/>
      <c r="F91" s="830"/>
      <c r="G91" s="830"/>
      <c r="H91" s="830"/>
      <c r="I91" s="830"/>
      <c r="J91" s="831"/>
    </row>
    <row r="92" spans="1:10" ht="12.75" customHeight="1" x14ac:dyDescent="0.2">
      <c r="A92" s="138"/>
      <c r="B92" s="829"/>
      <c r="C92" s="830"/>
      <c r="D92" s="830"/>
      <c r="E92" s="830"/>
      <c r="F92" s="830"/>
      <c r="G92" s="830"/>
      <c r="H92" s="830"/>
      <c r="I92" s="830"/>
      <c r="J92" s="831"/>
    </row>
    <row r="93" spans="1:10" ht="12.75" customHeight="1" x14ac:dyDescent="0.2">
      <c r="A93" s="138"/>
      <c r="B93" s="829"/>
      <c r="C93" s="830"/>
      <c r="D93" s="830"/>
      <c r="E93" s="830"/>
      <c r="F93" s="830"/>
      <c r="G93" s="830"/>
      <c r="H93" s="830"/>
      <c r="I93" s="830"/>
      <c r="J93" s="831"/>
    </row>
    <row r="94" spans="1:10" ht="12.75" customHeight="1" x14ac:dyDescent="0.2">
      <c r="A94" s="138"/>
      <c r="B94" s="829"/>
      <c r="C94" s="830"/>
      <c r="D94" s="830"/>
      <c r="E94" s="830"/>
      <c r="F94" s="830"/>
      <c r="G94" s="830"/>
      <c r="H94" s="830"/>
      <c r="I94" s="830"/>
      <c r="J94" s="831"/>
    </row>
    <row r="95" spans="1:10" ht="12.75" customHeight="1" x14ac:dyDescent="0.2">
      <c r="A95" s="138"/>
      <c r="B95" s="829"/>
      <c r="C95" s="830"/>
      <c r="D95" s="830"/>
      <c r="E95" s="830"/>
      <c r="F95" s="830"/>
      <c r="G95" s="830"/>
      <c r="H95" s="830"/>
      <c r="I95" s="830"/>
      <c r="J95" s="831"/>
    </row>
    <row r="96" spans="1:10" ht="12.75" customHeight="1" x14ac:dyDescent="0.2">
      <c r="A96" s="138"/>
      <c r="B96" s="829"/>
      <c r="C96" s="830"/>
      <c r="D96" s="830"/>
      <c r="E96" s="830"/>
      <c r="F96" s="830"/>
      <c r="G96" s="830"/>
      <c r="H96" s="830"/>
      <c r="I96" s="830"/>
      <c r="J96" s="831"/>
    </row>
    <row r="97" spans="1:10" ht="12.75" customHeight="1" x14ac:dyDescent="0.2">
      <c r="A97" s="138"/>
      <c r="B97" s="829"/>
      <c r="C97" s="830"/>
      <c r="D97" s="830"/>
      <c r="E97" s="830"/>
      <c r="F97" s="830"/>
      <c r="G97" s="830"/>
      <c r="H97" s="830"/>
      <c r="I97" s="830"/>
      <c r="J97" s="831"/>
    </row>
    <row r="98" spans="1:10" ht="12.75" customHeight="1" x14ac:dyDescent="0.2">
      <c r="A98" s="138"/>
      <c r="B98" s="829"/>
      <c r="C98" s="830"/>
      <c r="D98" s="830"/>
      <c r="E98" s="830"/>
      <c r="F98" s="830"/>
      <c r="G98" s="830"/>
      <c r="H98" s="830"/>
      <c r="I98" s="830"/>
      <c r="J98" s="831"/>
    </row>
    <row r="99" spans="1:10" ht="12.75" customHeight="1" x14ac:dyDescent="0.2">
      <c r="A99" s="138"/>
      <c r="B99" s="832"/>
      <c r="C99" s="833"/>
      <c r="D99" s="833"/>
      <c r="E99" s="833"/>
      <c r="F99" s="833"/>
      <c r="G99" s="833"/>
      <c r="H99" s="833"/>
      <c r="I99" s="833"/>
      <c r="J99" s="834"/>
    </row>
    <row r="100" spans="1:10" ht="12.75" customHeight="1" x14ac:dyDescent="0.2">
      <c r="A100" s="138"/>
      <c r="B100" s="136"/>
      <c r="C100" s="136"/>
      <c r="D100" s="136"/>
      <c r="E100" s="136"/>
      <c r="F100" s="136"/>
      <c r="G100" s="136"/>
      <c r="H100" s="136"/>
      <c r="I100" s="136"/>
      <c r="J100" s="140"/>
    </row>
    <row r="101" spans="1:10" x14ac:dyDescent="0.2">
      <c r="A101" s="152"/>
      <c r="B101" s="151"/>
      <c r="C101" s="150"/>
      <c r="D101" s="149"/>
      <c r="E101" s="149"/>
      <c r="F101" s="149"/>
      <c r="G101" s="149"/>
      <c r="H101" s="149"/>
      <c r="I101" s="149"/>
      <c r="J101" s="148"/>
    </row>
    <row r="102" spans="1:10" s="146" customFormat="1" ht="25.5" customHeight="1" x14ac:dyDescent="0.2">
      <c r="A102" s="602" t="s">
        <v>248</v>
      </c>
      <c r="B102" s="603"/>
      <c r="C102" s="603"/>
      <c r="D102" s="603"/>
      <c r="E102" s="603"/>
      <c r="F102" s="603"/>
      <c r="G102" s="603"/>
      <c r="H102" s="603"/>
      <c r="I102" s="603"/>
      <c r="J102" s="604"/>
    </row>
    <row r="103" spans="1:10" x14ac:dyDescent="0.2">
      <c r="A103" s="145"/>
      <c r="B103" s="144"/>
      <c r="C103" s="144"/>
      <c r="D103" s="144"/>
      <c r="E103" s="144"/>
      <c r="F103" s="144"/>
      <c r="G103" s="144"/>
      <c r="H103" s="144"/>
      <c r="I103" s="144"/>
      <c r="J103" s="143"/>
    </row>
    <row r="104" spans="1:10" ht="18.75" customHeight="1" x14ac:dyDescent="0.25">
      <c r="A104" s="142"/>
      <c r="B104" s="818" t="s">
        <v>230</v>
      </c>
      <c r="C104" s="818"/>
      <c r="D104" s="818"/>
      <c r="E104" s="818"/>
      <c r="F104" s="818"/>
      <c r="G104" s="818"/>
      <c r="H104" s="818"/>
      <c r="I104" s="818"/>
      <c r="J104" s="819"/>
    </row>
    <row r="105" spans="1:10" s="21" customFormat="1" ht="12.75" customHeight="1" thickBot="1" x14ac:dyDescent="0.25">
      <c r="A105" s="138"/>
      <c r="B105" s="2"/>
      <c r="C105" s="136"/>
      <c r="D105" s="2"/>
      <c r="E105" s="147"/>
      <c r="F105" s="147"/>
      <c r="G105" s="147"/>
      <c r="H105" s="147"/>
      <c r="I105" s="147"/>
      <c r="J105" s="135"/>
    </row>
    <row r="106" spans="1:10" ht="12.75" customHeight="1" thickBot="1" x14ac:dyDescent="0.25">
      <c r="A106" s="138"/>
      <c r="B106" s="139"/>
      <c r="C106" s="136"/>
      <c r="D106" s="807" t="s">
        <v>251</v>
      </c>
      <c r="E106" s="807"/>
      <c r="F106" s="807"/>
      <c r="G106" s="807"/>
      <c r="H106" s="807"/>
      <c r="I106" s="807"/>
      <c r="J106" s="135"/>
    </row>
    <row r="107" spans="1:10" ht="14.45" customHeight="1" x14ac:dyDescent="0.2">
      <c r="A107" s="138"/>
      <c r="B107" s="137"/>
      <c r="C107" s="136"/>
      <c r="D107" s="807"/>
      <c r="E107" s="807"/>
      <c r="F107" s="807"/>
      <c r="G107" s="807"/>
      <c r="H107" s="807"/>
      <c r="I107" s="807"/>
      <c r="J107" s="135"/>
    </row>
    <row r="108" spans="1:10" ht="12.75" customHeight="1" x14ac:dyDescent="0.2">
      <c r="A108" s="138"/>
      <c r="B108" s="137"/>
      <c r="C108" s="136"/>
      <c r="D108" s="807"/>
      <c r="E108" s="807"/>
      <c r="F108" s="807"/>
      <c r="G108" s="807"/>
      <c r="H108" s="807"/>
      <c r="I108" s="807"/>
      <c r="J108" s="135"/>
    </row>
    <row r="109" spans="1:10" ht="12.75" customHeight="1" x14ac:dyDescent="0.2">
      <c r="A109" s="138"/>
      <c r="B109" s="137"/>
      <c r="C109" s="136"/>
      <c r="D109" s="807"/>
      <c r="E109" s="807"/>
      <c r="F109" s="807"/>
      <c r="G109" s="807"/>
      <c r="H109" s="807"/>
      <c r="I109" s="807"/>
      <c r="J109" s="135"/>
    </row>
    <row r="110" spans="1:10" ht="12.75" customHeight="1" thickBot="1" x14ac:dyDescent="0.25">
      <c r="A110" s="138"/>
      <c r="C110" s="136"/>
      <c r="E110" s="147"/>
      <c r="F110" s="147"/>
      <c r="G110" s="147"/>
      <c r="H110" s="147"/>
      <c r="I110" s="147"/>
      <c r="J110" s="135"/>
    </row>
    <row r="111" spans="1:10" ht="12.75" customHeight="1" thickBot="1" x14ac:dyDescent="0.25">
      <c r="A111" s="138"/>
      <c r="B111" s="139"/>
      <c r="C111" s="136"/>
      <c r="D111" s="835" t="s">
        <v>250</v>
      </c>
      <c r="E111" s="835"/>
      <c r="F111" s="835"/>
      <c r="G111" s="835"/>
      <c r="H111" s="835"/>
      <c r="I111" s="835"/>
      <c r="J111" s="135"/>
    </row>
    <row r="112" spans="1:10" ht="16.899999999999999" customHeight="1" x14ac:dyDescent="0.2">
      <c r="A112" s="138"/>
      <c r="B112" s="137"/>
      <c r="C112" s="136"/>
      <c r="D112" s="835"/>
      <c r="E112" s="835"/>
      <c r="F112" s="835"/>
      <c r="G112" s="835"/>
      <c r="H112" s="835"/>
      <c r="I112" s="835"/>
      <c r="J112" s="135"/>
    </row>
    <row r="113" spans="1:10" ht="12.75" customHeight="1" x14ac:dyDescent="0.2">
      <c r="A113" s="138"/>
      <c r="B113" s="137"/>
      <c r="C113" s="136"/>
      <c r="D113" s="835"/>
      <c r="E113" s="835"/>
      <c r="F113" s="835"/>
      <c r="G113" s="835"/>
      <c r="H113" s="835"/>
      <c r="I113" s="835"/>
      <c r="J113" s="135"/>
    </row>
    <row r="114" spans="1:10" ht="12.75" customHeight="1" x14ac:dyDescent="0.2">
      <c r="A114" s="138"/>
      <c r="B114" s="137"/>
      <c r="C114" s="136"/>
      <c r="D114" s="835"/>
      <c r="E114" s="835"/>
      <c r="F114" s="835"/>
      <c r="G114" s="835"/>
      <c r="H114" s="835"/>
      <c r="I114" s="835"/>
      <c r="J114" s="135"/>
    </row>
    <row r="115" spans="1:10" ht="12.75" customHeight="1" thickBot="1" x14ac:dyDescent="0.25">
      <c r="A115" s="138"/>
      <c r="B115" s="137"/>
      <c r="C115" s="136"/>
      <c r="D115" s="147"/>
      <c r="E115" s="147"/>
      <c r="F115" s="147"/>
      <c r="G115" s="147"/>
      <c r="H115" s="147"/>
      <c r="I115" s="147"/>
      <c r="J115" s="135"/>
    </row>
    <row r="116" spans="1:10" ht="12.75" customHeight="1" thickBot="1" x14ac:dyDescent="0.25">
      <c r="A116" s="138"/>
      <c r="B116" s="139"/>
      <c r="C116" s="136"/>
      <c r="D116" s="807" t="s">
        <v>252</v>
      </c>
      <c r="E116" s="807"/>
      <c r="F116" s="807"/>
      <c r="G116" s="807"/>
      <c r="H116" s="807"/>
      <c r="I116" s="807"/>
      <c r="J116" s="135"/>
    </row>
    <row r="117" spans="1:10" ht="14.45" customHeight="1" x14ac:dyDescent="0.2">
      <c r="A117" s="138"/>
      <c r="B117" s="137"/>
      <c r="C117" s="136"/>
      <c r="D117" s="807"/>
      <c r="E117" s="807"/>
      <c r="F117" s="807"/>
      <c r="G117" s="807"/>
      <c r="H117" s="807"/>
      <c r="I117" s="807"/>
      <c r="J117" s="135"/>
    </row>
    <row r="118" spans="1:10" ht="12.75" customHeight="1" x14ac:dyDescent="0.2">
      <c r="A118" s="138"/>
      <c r="B118" s="137"/>
      <c r="C118" s="136"/>
      <c r="D118" s="807"/>
      <c r="E118" s="807"/>
      <c r="F118" s="807"/>
      <c r="G118" s="807"/>
      <c r="H118" s="807"/>
      <c r="I118" s="807"/>
      <c r="J118" s="135"/>
    </row>
    <row r="119" spans="1:10" ht="12.75" customHeight="1" x14ac:dyDescent="0.2">
      <c r="A119" s="138"/>
      <c r="B119" s="137"/>
      <c r="C119" s="136"/>
      <c r="D119" s="147"/>
      <c r="E119" s="147"/>
      <c r="F119" s="147"/>
      <c r="G119" s="147"/>
      <c r="H119" s="147"/>
      <c r="I119" s="147"/>
      <c r="J119" s="135"/>
    </row>
    <row r="120" spans="1:10" s="146" customFormat="1" ht="25.5" customHeight="1" x14ac:dyDescent="0.2">
      <c r="A120" s="602" t="s">
        <v>249</v>
      </c>
      <c r="B120" s="603"/>
      <c r="C120" s="603"/>
      <c r="D120" s="603"/>
      <c r="E120" s="603"/>
      <c r="F120" s="603"/>
      <c r="G120" s="603"/>
      <c r="H120" s="603"/>
      <c r="I120" s="603"/>
      <c r="J120" s="604"/>
    </row>
    <row r="121" spans="1:10" x14ac:dyDescent="0.2">
      <c r="A121" s="145"/>
      <c r="B121" s="144"/>
      <c r="C121" s="144"/>
      <c r="D121" s="144"/>
      <c r="E121" s="144"/>
      <c r="F121" s="144"/>
      <c r="G121" s="144"/>
      <c r="H121" s="144"/>
      <c r="I121" s="144"/>
      <c r="J121" s="143"/>
    </row>
    <row r="122" spans="1:10" ht="18.75" customHeight="1" x14ac:dyDescent="0.25">
      <c r="A122" s="142"/>
      <c r="B122" s="818" t="s">
        <v>230</v>
      </c>
      <c r="C122" s="818"/>
      <c r="D122" s="818"/>
      <c r="E122" s="818"/>
      <c r="F122" s="818"/>
      <c r="G122" s="818"/>
      <c r="H122" s="818"/>
      <c r="I122" s="818"/>
      <c r="J122" s="819"/>
    </row>
    <row r="123" spans="1:10" ht="12.75" customHeight="1" thickBot="1" x14ac:dyDescent="0.25">
      <c r="A123" s="138"/>
      <c r="B123" s="141"/>
      <c r="C123" s="136"/>
      <c r="D123" s="136"/>
      <c r="E123" s="136"/>
      <c r="F123" s="136"/>
      <c r="G123" s="136"/>
      <c r="H123" s="136"/>
      <c r="I123" s="136"/>
      <c r="J123" s="140"/>
    </row>
    <row r="124" spans="1:10" ht="17.45" customHeight="1" thickBot="1" x14ac:dyDescent="0.25">
      <c r="A124" s="138"/>
      <c r="B124" s="139"/>
      <c r="C124" s="136"/>
      <c r="D124" s="835" t="s">
        <v>333</v>
      </c>
      <c r="E124" s="807"/>
      <c r="F124" s="807"/>
      <c r="G124" s="807"/>
      <c r="H124" s="807"/>
      <c r="I124" s="807"/>
      <c r="J124" s="135"/>
    </row>
    <row r="125" spans="1:10" ht="12.75" customHeight="1" x14ac:dyDescent="0.2">
      <c r="A125" s="138"/>
      <c r="B125" s="137"/>
      <c r="C125" s="136"/>
      <c r="D125" s="807"/>
      <c r="E125" s="807"/>
      <c r="F125" s="807"/>
      <c r="G125" s="807"/>
      <c r="H125" s="807"/>
      <c r="I125" s="807"/>
      <c r="J125" s="135"/>
    </row>
    <row r="126" spans="1:10" ht="12.75" customHeight="1" x14ac:dyDescent="0.2">
      <c r="A126" s="138"/>
      <c r="B126" s="137"/>
      <c r="C126" s="136"/>
      <c r="D126" s="807"/>
      <c r="E126" s="807"/>
      <c r="F126" s="807"/>
      <c r="G126" s="807"/>
      <c r="H126" s="807"/>
      <c r="I126" s="807"/>
      <c r="J126" s="135"/>
    </row>
    <row r="127" spans="1:10" ht="12.75" customHeight="1" x14ac:dyDescent="0.2">
      <c r="A127" s="138"/>
      <c r="B127" s="137"/>
      <c r="C127" s="136"/>
      <c r="D127" s="807"/>
      <c r="E127" s="807"/>
      <c r="F127" s="807"/>
      <c r="G127" s="807"/>
      <c r="H127" s="807"/>
      <c r="I127" s="807"/>
      <c r="J127" s="135"/>
    </row>
    <row r="128" spans="1:10" ht="12.75" customHeight="1" x14ac:dyDescent="0.2">
      <c r="A128" s="138"/>
      <c r="B128" s="137"/>
      <c r="C128" s="136"/>
      <c r="D128" s="807"/>
      <c r="E128" s="807"/>
      <c r="F128" s="807"/>
      <c r="G128" s="807"/>
      <c r="H128" s="807"/>
      <c r="I128" s="807"/>
      <c r="J128" s="135"/>
    </row>
    <row r="129" spans="1:10" ht="12.75" customHeight="1" x14ac:dyDescent="0.2">
      <c r="A129" s="138"/>
      <c r="B129" s="137"/>
      <c r="C129" s="136"/>
      <c r="D129" s="807"/>
      <c r="E129" s="807"/>
      <c r="F129" s="807"/>
      <c r="G129" s="807"/>
      <c r="H129" s="807"/>
      <c r="I129" s="807"/>
      <c r="J129" s="135"/>
    </row>
    <row r="130" spans="1:10" ht="13.5" thickBot="1" x14ac:dyDescent="0.25">
      <c r="A130" s="138"/>
      <c r="B130" s="137"/>
      <c r="C130" s="136"/>
      <c r="D130" s="807"/>
      <c r="E130" s="807"/>
      <c r="F130" s="807"/>
      <c r="G130" s="807"/>
      <c r="H130" s="807"/>
      <c r="I130" s="807"/>
      <c r="J130" s="135"/>
    </row>
    <row r="131" spans="1:10" ht="17.45" customHeight="1" thickBot="1" x14ac:dyDescent="0.25">
      <c r="A131" s="138"/>
      <c r="B131" s="139"/>
      <c r="C131" s="136"/>
      <c r="D131" s="807" t="s">
        <v>253</v>
      </c>
      <c r="E131" s="807"/>
      <c r="F131" s="807"/>
      <c r="G131" s="807"/>
      <c r="H131" s="807"/>
      <c r="I131" s="807"/>
      <c r="J131" s="135"/>
    </row>
    <row r="132" spans="1:10" ht="12.75" customHeight="1" x14ac:dyDescent="0.2">
      <c r="A132" s="138"/>
      <c r="B132" s="137"/>
      <c r="C132" s="136"/>
      <c r="D132" s="807"/>
      <c r="E132" s="807"/>
      <c r="F132" s="807"/>
      <c r="G132" s="807"/>
      <c r="H132" s="807"/>
      <c r="I132" s="807"/>
      <c r="J132" s="135"/>
    </row>
    <row r="133" spans="1:10" ht="12.75" customHeight="1" x14ac:dyDescent="0.2">
      <c r="A133" s="138"/>
      <c r="B133" s="137"/>
      <c r="C133" s="136"/>
      <c r="D133" s="807"/>
      <c r="E133" s="807"/>
      <c r="F133" s="807"/>
      <c r="G133" s="807"/>
      <c r="H133" s="807"/>
      <c r="I133" s="807"/>
      <c r="J133" s="135"/>
    </row>
    <row r="134" spans="1:10" ht="12.75" customHeight="1" x14ac:dyDescent="0.2">
      <c r="A134" s="138"/>
      <c r="B134" s="137"/>
      <c r="C134" s="136"/>
      <c r="D134" s="807"/>
      <c r="E134" s="807"/>
      <c r="F134" s="807"/>
      <c r="G134" s="807"/>
      <c r="H134" s="807"/>
      <c r="I134" s="807"/>
      <c r="J134" s="135"/>
    </row>
    <row r="135" spans="1:10" ht="13.5" thickBot="1" x14ac:dyDescent="0.25">
      <c r="A135" s="134"/>
      <c r="B135" s="133"/>
      <c r="C135" s="132"/>
      <c r="D135" s="131"/>
      <c r="E135" s="131"/>
      <c r="F135" s="131"/>
      <c r="G135" s="131"/>
      <c r="H135" s="131"/>
      <c r="I135" s="131"/>
      <c r="J135" s="130"/>
    </row>
    <row r="136" spans="1:10" ht="12.75" customHeight="1" thickTop="1" x14ac:dyDescent="0.2"/>
    <row r="137" spans="1:10" ht="12.75" hidden="1" customHeight="1" x14ac:dyDescent="0.2"/>
    <row r="138" spans="1:10" ht="12.75" hidden="1" customHeight="1" x14ac:dyDescent="0.2">
      <c r="A138" s="2" t="s">
        <v>23</v>
      </c>
    </row>
  </sheetData>
  <sheetProtection password="E686" sheet="1" formatRows="0"/>
  <mergeCells count="45">
    <mergeCell ref="D131:I134"/>
    <mergeCell ref="D116:I118"/>
    <mergeCell ref="A120:J120"/>
    <mergeCell ref="B122:J122"/>
    <mergeCell ref="D111:I114"/>
    <mergeCell ref="D124:I129"/>
    <mergeCell ref="B61:J70"/>
    <mergeCell ref="B72:C72"/>
    <mergeCell ref="D74:I78"/>
    <mergeCell ref="D130:I130"/>
    <mergeCell ref="D80:H80"/>
    <mergeCell ref="D81:I81"/>
    <mergeCell ref="D82:I82"/>
    <mergeCell ref="D84:I85"/>
    <mergeCell ref="B87:E87"/>
    <mergeCell ref="F87:J87"/>
    <mergeCell ref="D106:I109"/>
    <mergeCell ref="B88:J89"/>
    <mergeCell ref="B90:J99"/>
    <mergeCell ref="A102:J102"/>
    <mergeCell ref="B104:J104"/>
    <mergeCell ref="D53:I53"/>
    <mergeCell ref="D55:I56"/>
    <mergeCell ref="B58:E58"/>
    <mergeCell ref="F58:J58"/>
    <mergeCell ref="B59:J60"/>
    <mergeCell ref="B32:J41"/>
    <mergeCell ref="B43:C43"/>
    <mergeCell ref="D45:I49"/>
    <mergeCell ref="D51:H51"/>
    <mergeCell ref="D52:I52"/>
    <mergeCell ref="D22:I23"/>
    <mergeCell ref="D25:I27"/>
    <mergeCell ref="B29:E29"/>
    <mergeCell ref="F29:J29"/>
    <mergeCell ref="B30:J31"/>
    <mergeCell ref="D18:H18"/>
    <mergeCell ref="D19:I19"/>
    <mergeCell ref="D20:I20"/>
    <mergeCell ref="A1:J2"/>
    <mergeCell ref="A3:J4"/>
    <mergeCell ref="A6:J6"/>
    <mergeCell ref="B8:J8"/>
    <mergeCell ref="B10:C10"/>
    <mergeCell ref="D12:I16"/>
  </mergeCells>
  <dataValidations count="1">
    <dataValidation type="list" allowBlank="1" showInputMessage="1" showErrorMessage="1" sqref="B111 B106 B55 B25 B12 B22 B84 B74 B45 B131 B124 B116">
      <formula1>check</formula1>
    </dataValidation>
  </dataValidations>
  <pageMargins left="0.75" right="0.75" top="1" bottom="1" header="0.5" footer="0.5"/>
  <pageSetup scale="83" fitToWidth="0" fitToHeight="0" orientation="landscape" r:id="rId1"/>
  <headerFooter alignWithMargins="0">
    <oddHeader>&amp;LFFY 2012 Consolidated Application&amp;R&amp;P of &amp;N</oddHeader>
  </headerFooter>
  <rowBreaks count="2" manualBreakCount="2">
    <brk id="71" max="16383" man="1"/>
    <brk id="10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J33"/>
  <sheetViews>
    <sheetView topLeftCell="A6" workbookViewId="0">
      <selection activeCell="B25" sqref="B25"/>
    </sheetView>
  </sheetViews>
  <sheetFormatPr defaultRowHeight="12.75" x14ac:dyDescent="0.2"/>
  <cols>
    <col min="1" max="10" width="15.7109375" customWidth="1"/>
  </cols>
  <sheetData>
    <row r="1" spans="1:10" x14ac:dyDescent="0.2">
      <c r="A1" s="839" t="s">
        <v>595</v>
      </c>
      <c r="B1" s="840"/>
      <c r="C1" s="840"/>
      <c r="D1" s="840"/>
      <c r="E1" s="840"/>
      <c r="F1" s="840"/>
      <c r="G1" s="840"/>
      <c r="H1" s="840"/>
      <c r="I1" s="840"/>
      <c r="J1" s="841"/>
    </row>
    <row r="2" spans="1:10" x14ac:dyDescent="0.2">
      <c r="A2" s="842"/>
      <c r="B2" s="843"/>
      <c r="C2" s="843"/>
      <c r="D2" s="843"/>
      <c r="E2" s="843"/>
      <c r="F2" s="843"/>
      <c r="G2" s="843"/>
      <c r="H2" s="843"/>
      <c r="I2" s="843"/>
      <c r="J2" s="844"/>
    </row>
    <row r="3" spans="1:10" x14ac:dyDescent="0.2">
      <c r="A3" s="741" t="s">
        <v>24</v>
      </c>
      <c r="B3" s="544"/>
      <c r="C3" s="544"/>
      <c r="D3" s="544"/>
      <c r="E3" s="544"/>
      <c r="F3" s="544"/>
      <c r="G3" s="544"/>
      <c r="H3" s="544"/>
      <c r="I3" s="544"/>
      <c r="J3" s="742"/>
    </row>
    <row r="4" spans="1:10" x14ac:dyDescent="0.2">
      <c r="A4" s="745"/>
      <c r="B4" s="547"/>
      <c r="C4" s="547"/>
      <c r="D4" s="547"/>
      <c r="E4" s="547"/>
      <c r="F4" s="547"/>
      <c r="G4" s="547"/>
      <c r="H4" s="547"/>
      <c r="I4" s="547"/>
      <c r="J4" s="746"/>
    </row>
    <row r="5" spans="1:10" x14ac:dyDescent="0.2">
      <c r="A5" s="188"/>
      <c r="B5" s="72"/>
      <c r="C5" s="72"/>
      <c r="D5" s="72"/>
      <c r="E5" s="72"/>
      <c r="F5" s="72"/>
      <c r="G5" s="72"/>
      <c r="H5" s="72"/>
      <c r="I5" s="72"/>
      <c r="J5" s="189"/>
    </row>
    <row r="6" spans="1:10" ht="15.75" x14ac:dyDescent="0.25">
      <c r="A6" s="190"/>
      <c r="B6" s="191"/>
      <c r="C6" s="192"/>
      <c r="D6" s="845" t="s">
        <v>591</v>
      </c>
      <c r="E6" s="845"/>
      <c r="F6" s="845"/>
      <c r="G6" s="845"/>
      <c r="H6" s="845"/>
      <c r="I6" s="845"/>
      <c r="J6" s="846"/>
    </row>
    <row r="7" spans="1:10" ht="15.75" x14ac:dyDescent="0.25">
      <c r="A7" s="190"/>
      <c r="B7" s="192"/>
      <c r="C7" s="192"/>
      <c r="D7" s="845"/>
      <c r="E7" s="845"/>
      <c r="F7" s="845"/>
      <c r="G7" s="845"/>
      <c r="H7" s="845"/>
      <c r="I7" s="845"/>
      <c r="J7" s="846"/>
    </row>
    <row r="8" spans="1:10" ht="13.5" thickBot="1" x14ac:dyDescent="0.25">
      <c r="A8" s="190"/>
      <c r="B8" s="73"/>
      <c r="C8" s="73"/>
      <c r="D8" s="73"/>
      <c r="E8" s="73"/>
      <c r="F8" s="73"/>
      <c r="G8" s="73"/>
      <c r="H8" s="73"/>
      <c r="I8" s="73"/>
      <c r="J8" s="193"/>
    </row>
    <row r="9" spans="1:10" ht="13.5" thickBot="1" x14ac:dyDescent="0.25">
      <c r="A9" s="194" t="s">
        <v>592</v>
      </c>
      <c r="B9" s="74" t="s">
        <v>23</v>
      </c>
      <c r="C9" s="75"/>
      <c r="D9" s="582" t="s">
        <v>596</v>
      </c>
      <c r="E9" s="582"/>
      <c r="F9" s="582"/>
      <c r="G9" s="582"/>
      <c r="H9" s="582"/>
      <c r="I9" s="582"/>
      <c r="J9" s="836"/>
    </row>
    <row r="10" spans="1:10" x14ac:dyDescent="0.2">
      <c r="A10" s="194"/>
      <c r="B10" s="76"/>
      <c r="C10" s="75"/>
      <c r="D10" s="847" t="s">
        <v>597</v>
      </c>
      <c r="E10" s="847"/>
      <c r="F10" s="847"/>
      <c r="G10" s="847"/>
      <c r="H10" s="847"/>
      <c r="I10" s="847"/>
      <c r="J10" s="848"/>
    </row>
    <row r="11" spans="1:10" ht="12" customHeight="1" thickBot="1" x14ac:dyDescent="0.25">
      <c r="A11" s="194"/>
      <c r="B11" s="76"/>
      <c r="C11" s="75"/>
      <c r="D11" s="75"/>
      <c r="E11" s="75"/>
      <c r="F11" s="75"/>
      <c r="G11" s="75"/>
      <c r="H11" s="75"/>
      <c r="I11" s="75"/>
      <c r="J11" s="195"/>
    </row>
    <row r="12" spans="1:10" ht="13.5" thickBot="1" x14ac:dyDescent="0.25">
      <c r="A12" s="194" t="s">
        <v>593</v>
      </c>
      <c r="B12" s="74" t="s">
        <v>23</v>
      </c>
      <c r="C12" s="75"/>
      <c r="D12" s="582" t="s">
        <v>598</v>
      </c>
      <c r="E12" s="582"/>
      <c r="F12" s="582"/>
      <c r="G12" s="582"/>
      <c r="H12" s="582"/>
      <c r="I12" s="582"/>
      <c r="J12" s="836"/>
    </row>
    <row r="13" spans="1:10" ht="28.9" customHeight="1" x14ac:dyDescent="0.2">
      <c r="A13" s="194"/>
      <c r="B13" s="77"/>
      <c r="C13" s="75"/>
      <c r="D13" s="582"/>
      <c r="E13" s="582"/>
      <c r="F13" s="582"/>
      <c r="G13" s="582"/>
      <c r="H13" s="582"/>
      <c r="I13" s="582"/>
      <c r="J13" s="836"/>
    </row>
    <row r="14" spans="1:10" ht="7.9" customHeight="1" thickBot="1" x14ac:dyDescent="0.25">
      <c r="A14" s="194"/>
      <c r="B14" s="76"/>
      <c r="C14" s="75"/>
      <c r="D14" s="75"/>
      <c r="E14" s="75"/>
      <c r="F14" s="75"/>
      <c r="G14" s="75"/>
      <c r="H14" s="75"/>
      <c r="I14" s="75"/>
      <c r="J14" s="195"/>
    </row>
    <row r="15" spans="1:10" ht="15.6" customHeight="1" thickBot="1" x14ac:dyDescent="0.25">
      <c r="A15" s="194" t="s">
        <v>594</v>
      </c>
      <c r="B15" s="74" t="s">
        <v>23</v>
      </c>
      <c r="C15" s="75"/>
      <c r="D15" s="582" t="s">
        <v>601</v>
      </c>
      <c r="E15" s="582"/>
      <c r="F15" s="582"/>
      <c r="G15" s="582"/>
      <c r="H15" s="582"/>
      <c r="I15" s="582"/>
      <c r="J15" s="836"/>
    </row>
    <row r="16" spans="1:10" x14ac:dyDescent="0.2">
      <c r="A16" s="194"/>
      <c r="B16" s="196"/>
      <c r="C16" s="75"/>
      <c r="D16" s="582"/>
      <c r="E16" s="582"/>
      <c r="F16" s="582"/>
      <c r="G16" s="582"/>
      <c r="H16" s="582"/>
      <c r="I16" s="582"/>
      <c r="J16" s="836"/>
    </row>
    <row r="17" spans="1:10" ht="10.15" customHeight="1" thickBot="1" x14ac:dyDescent="0.25">
      <c r="A17" s="194"/>
      <c r="B17" s="76"/>
      <c r="C17" s="75"/>
      <c r="D17" s="75"/>
      <c r="E17" s="75"/>
      <c r="F17" s="75"/>
      <c r="G17" s="75"/>
      <c r="H17" s="75"/>
      <c r="I17" s="75"/>
      <c r="J17" s="195"/>
    </row>
    <row r="18" spans="1:10" ht="14.45" customHeight="1" thickBot="1" x14ac:dyDescent="0.25">
      <c r="A18" s="194" t="s">
        <v>599</v>
      </c>
      <c r="B18" s="74" t="s">
        <v>23</v>
      </c>
      <c r="C18" s="75"/>
      <c r="D18" s="582" t="s">
        <v>600</v>
      </c>
      <c r="E18" s="582"/>
      <c r="F18" s="582"/>
      <c r="G18" s="582"/>
      <c r="H18" s="582"/>
      <c r="I18" s="582"/>
      <c r="J18" s="836"/>
    </row>
    <row r="19" spans="1:10" ht="9" customHeight="1" x14ac:dyDescent="0.2">
      <c r="A19" s="194"/>
      <c r="B19" s="77"/>
      <c r="C19" s="75"/>
      <c r="D19" s="582"/>
      <c r="E19" s="582"/>
      <c r="F19" s="582"/>
      <c r="G19" s="582"/>
      <c r="H19" s="582"/>
      <c r="I19" s="582"/>
      <c r="J19" s="836"/>
    </row>
    <row r="20" spans="1:10" ht="7.9" customHeight="1" thickBot="1" x14ac:dyDescent="0.25">
      <c r="A20" s="194"/>
      <c r="B20" s="76"/>
      <c r="C20" s="75"/>
      <c r="D20" s="75"/>
      <c r="E20" s="75"/>
      <c r="F20" s="75"/>
      <c r="G20" s="75"/>
      <c r="H20" s="75"/>
      <c r="I20" s="75"/>
      <c r="J20" s="195"/>
    </row>
    <row r="21" spans="1:10" ht="14.45" customHeight="1" thickBot="1" x14ac:dyDescent="0.25">
      <c r="A21" s="194" t="s">
        <v>602</v>
      </c>
      <c r="B21" s="74" t="s">
        <v>23</v>
      </c>
      <c r="C21" s="75"/>
      <c r="D21" s="582" t="s">
        <v>605</v>
      </c>
      <c r="E21" s="582"/>
      <c r="F21" s="582"/>
      <c r="G21" s="582"/>
      <c r="H21" s="582"/>
      <c r="I21" s="582"/>
      <c r="J21" s="836"/>
    </row>
    <row r="22" spans="1:10" ht="29.45" customHeight="1" x14ac:dyDescent="0.2">
      <c r="A22" s="194"/>
      <c r="B22" s="196"/>
      <c r="C22" s="75"/>
      <c r="D22" s="582"/>
      <c r="E22" s="582"/>
      <c r="F22" s="582"/>
      <c r="G22" s="582"/>
      <c r="H22" s="582"/>
      <c r="I22" s="582"/>
      <c r="J22" s="836"/>
    </row>
    <row r="23" spans="1:10" ht="30.6" customHeight="1" x14ac:dyDescent="0.2">
      <c r="A23" s="194"/>
      <c r="B23" s="77"/>
      <c r="C23" s="75"/>
      <c r="D23" s="582"/>
      <c r="E23" s="582"/>
      <c r="F23" s="582"/>
      <c r="G23" s="582"/>
      <c r="H23" s="582"/>
      <c r="I23" s="582"/>
      <c r="J23" s="836"/>
    </row>
    <row r="24" spans="1:10" ht="10.9" customHeight="1" thickBot="1" x14ac:dyDescent="0.25">
      <c r="A24" s="194"/>
      <c r="B24" s="76"/>
      <c r="C24" s="75"/>
      <c r="D24" s="75"/>
      <c r="E24" s="75"/>
      <c r="F24" s="75"/>
      <c r="G24" s="75"/>
      <c r="H24" s="75"/>
      <c r="I24" s="75"/>
      <c r="J24" s="195"/>
    </row>
    <row r="25" spans="1:10" ht="15.6" customHeight="1" thickBot="1" x14ac:dyDescent="0.25">
      <c r="A25" s="194" t="s">
        <v>603</v>
      </c>
      <c r="B25" s="74"/>
      <c r="C25" s="75"/>
      <c r="D25" s="582" t="s">
        <v>604</v>
      </c>
      <c r="E25" s="582"/>
      <c r="F25" s="582"/>
      <c r="G25" s="582"/>
      <c r="H25" s="582"/>
      <c r="I25" s="582"/>
      <c r="J25" s="836"/>
    </row>
    <row r="26" spans="1:10" ht="9" customHeight="1" x14ac:dyDescent="0.2">
      <c r="A26" s="194"/>
      <c r="B26" s="77"/>
      <c r="C26" s="75"/>
      <c r="D26" s="582"/>
      <c r="E26" s="582"/>
      <c r="F26" s="582"/>
      <c r="G26" s="582"/>
      <c r="H26" s="582"/>
      <c r="I26" s="582"/>
      <c r="J26" s="836"/>
    </row>
    <row r="27" spans="1:10" ht="12.6" customHeight="1" thickBot="1" x14ac:dyDescent="0.25">
      <c r="A27" s="198"/>
      <c r="B27" s="198"/>
      <c r="C27" s="75"/>
      <c r="D27" s="582" t="s">
        <v>608</v>
      </c>
      <c r="E27" s="582"/>
      <c r="F27" s="582"/>
      <c r="G27" s="582"/>
      <c r="H27" s="582"/>
      <c r="I27" s="582"/>
      <c r="J27" s="836"/>
    </row>
    <row r="28" spans="1:10" ht="14.45" customHeight="1" thickBot="1" x14ac:dyDescent="0.25">
      <c r="A28" s="194" t="s">
        <v>606</v>
      </c>
      <c r="B28" s="74" t="s">
        <v>23</v>
      </c>
      <c r="C28" s="75"/>
      <c r="D28" s="582"/>
      <c r="E28" s="582"/>
      <c r="F28" s="582"/>
      <c r="G28" s="582"/>
      <c r="H28" s="582"/>
      <c r="I28" s="582"/>
      <c r="J28" s="836"/>
    </row>
    <row r="29" spans="1:10" ht="21.6" customHeight="1" x14ac:dyDescent="0.2">
      <c r="A29" s="194"/>
      <c r="B29" s="77"/>
      <c r="C29" s="75"/>
      <c r="D29" s="582"/>
      <c r="E29" s="582"/>
      <c r="F29" s="582"/>
      <c r="G29" s="582"/>
      <c r="H29" s="582"/>
      <c r="I29" s="582"/>
      <c r="J29" s="836"/>
    </row>
    <row r="30" spans="1:10" ht="7.9" customHeight="1" thickBot="1" x14ac:dyDescent="0.25">
      <c r="A30" s="194"/>
      <c r="B30" s="76"/>
      <c r="C30" s="75"/>
      <c r="D30" s="75"/>
      <c r="E30" s="75"/>
      <c r="F30" s="75"/>
      <c r="G30" s="75"/>
      <c r="H30" s="75"/>
      <c r="I30" s="75"/>
      <c r="J30" s="195"/>
    </row>
    <row r="31" spans="1:10" ht="15.6" customHeight="1" thickBot="1" x14ac:dyDescent="0.25">
      <c r="A31" s="194" t="s">
        <v>607</v>
      </c>
      <c r="B31" s="74" t="s">
        <v>23</v>
      </c>
      <c r="C31" s="75"/>
      <c r="D31" s="582" t="s">
        <v>609</v>
      </c>
      <c r="E31" s="582"/>
      <c r="F31" s="582"/>
      <c r="G31" s="582"/>
      <c r="H31" s="582"/>
      <c r="I31" s="582"/>
      <c r="J31" s="836"/>
    </row>
    <row r="32" spans="1:10" x14ac:dyDescent="0.2">
      <c r="A32" s="194"/>
      <c r="B32" s="196"/>
      <c r="C32" s="75"/>
      <c r="D32" s="582"/>
      <c r="E32" s="582"/>
      <c r="F32" s="582"/>
      <c r="G32" s="582"/>
      <c r="H32" s="582"/>
      <c r="I32" s="582"/>
      <c r="J32" s="836"/>
    </row>
    <row r="33" spans="1:10" ht="9" customHeight="1" x14ac:dyDescent="0.2">
      <c r="A33" s="197"/>
      <c r="B33" s="81"/>
      <c r="C33" s="82"/>
      <c r="D33" s="837"/>
      <c r="E33" s="837"/>
      <c r="F33" s="837"/>
      <c r="G33" s="837"/>
      <c r="H33" s="837"/>
      <c r="I33" s="837"/>
      <c r="J33" s="838"/>
    </row>
  </sheetData>
  <sheetProtection password="E686" sheet="1" objects="1" scenarios="1"/>
  <mergeCells count="12">
    <mergeCell ref="D31:J33"/>
    <mergeCell ref="A1:J2"/>
    <mergeCell ref="A3:J4"/>
    <mergeCell ref="D6:J7"/>
    <mergeCell ref="D9:J9"/>
    <mergeCell ref="D10:J10"/>
    <mergeCell ref="D12:J13"/>
    <mergeCell ref="D15:J16"/>
    <mergeCell ref="D18:J19"/>
    <mergeCell ref="D21:J23"/>
    <mergeCell ref="D25:J26"/>
    <mergeCell ref="D27:J29"/>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Sheet1!$A$4:$A$5</xm:f>
          </x14:formula1>
          <xm:sqref>B9 B12 B15 B18 B21 B25 B28 B31</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91"/>
  <sheetViews>
    <sheetView topLeftCell="A7" zoomScaleNormal="100" workbookViewId="0">
      <selection activeCell="H17" sqref="H17:H31"/>
    </sheetView>
  </sheetViews>
  <sheetFormatPr defaultColWidth="9.140625" defaultRowHeight="12.75" x14ac:dyDescent="0.2"/>
  <cols>
    <col min="1" max="10" width="15.7109375" style="22" customWidth="1"/>
    <col min="11" max="16384" width="9.140625" style="22"/>
  </cols>
  <sheetData>
    <row r="1" spans="1:10" ht="13.5" thickTop="1" x14ac:dyDescent="0.2">
      <c r="A1" s="872" t="s">
        <v>54</v>
      </c>
      <c r="B1" s="873"/>
      <c r="C1" s="873"/>
      <c r="D1" s="873"/>
      <c r="E1" s="873"/>
      <c r="F1" s="873"/>
      <c r="G1" s="873"/>
      <c r="H1" s="873"/>
      <c r="I1" s="874"/>
      <c r="J1" s="31"/>
    </row>
    <row r="2" spans="1:10" x14ac:dyDescent="0.2">
      <c r="A2" s="875"/>
      <c r="B2" s="876"/>
      <c r="C2" s="876"/>
      <c r="D2" s="876"/>
      <c r="E2" s="876"/>
      <c r="F2" s="876"/>
      <c r="G2" s="876"/>
      <c r="H2" s="876"/>
      <c r="I2" s="877"/>
      <c r="J2" s="31"/>
    </row>
    <row r="3" spans="1:10" x14ac:dyDescent="0.2">
      <c r="A3" s="878" t="s">
        <v>364</v>
      </c>
      <c r="B3" s="879"/>
      <c r="C3" s="879"/>
      <c r="D3" s="879"/>
      <c r="E3" s="879"/>
      <c r="F3" s="879"/>
      <c r="G3" s="879"/>
      <c r="H3" s="879"/>
      <c r="I3" s="880"/>
      <c r="J3" s="31"/>
    </row>
    <row r="4" spans="1:10" x14ac:dyDescent="0.2">
      <c r="A4" s="878"/>
      <c r="B4" s="879"/>
      <c r="C4" s="879"/>
      <c r="D4" s="879"/>
      <c r="E4" s="879"/>
      <c r="F4" s="879"/>
      <c r="G4" s="879"/>
      <c r="H4" s="879"/>
      <c r="I4" s="880"/>
      <c r="J4" s="31"/>
    </row>
    <row r="5" spans="1:10" x14ac:dyDescent="0.2">
      <c r="A5" s="878"/>
      <c r="B5" s="879"/>
      <c r="C5" s="879"/>
      <c r="D5" s="879"/>
      <c r="E5" s="879"/>
      <c r="F5" s="879"/>
      <c r="G5" s="879"/>
      <c r="H5" s="879"/>
      <c r="I5" s="880"/>
      <c r="J5" s="31"/>
    </row>
    <row r="6" spans="1:10" x14ac:dyDescent="0.2">
      <c r="A6" s="878"/>
      <c r="B6" s="879"/>
      <c r="C6" s="879"/>
      <c r="D6" s="879"/>
      <c r="E6" s="879"/>
      <c r="F6" s="879"/>
      <c r="G6" s="879"/>
      <c r="H6" s="879"/>
      <c r="I6" s="880"/>
      <c r="J6" s="31"/>
    </row>
    <row r="7" spans="1:10" x14ac:dyDescent="0.2">
      <c r="A7" s="878"/>
      <c r="B7" s="879"/>
      <c r="C7" s="879"/>
      <c r="D7" s="879"/>
      <c r="E7" s="879"/>
      <c r="F7" s="879"/>
      <c r="G7" s="879"/>
      <c r="H7" s="879"/>
      <c r="I7" s="880"/>
      <c r="J7" s="31"/>
    </row>
    <row r="8" spans="1:10" x14ac:dyDescent="0.2">
      <c r="A8" s="878"/>
      <c r="B8" s="879"/>
      <c r="C8" s="879"/>
      <c r="D8" s="879"/>
      <c r="E8" s="879"/>
      <c r="F8" s="879"/>
      <c r="G8" s="879"/>
      <c r="H8" s="879"/>
      <c r="I8" s="880"/>
      <c r="J8" s="31"/>
    </row>
    <row r="9" spans="1:10" x14ac:dyDescent="0.2">
      <c r="A9" s="881" t="s">
        <v>55</v>
      </c>
      <c r="B9" s="882"/>
      <c r="C9" s="883"/>
      <c r="D9" s="890" t="s">
        <v>56</v>
      </c>
      <c r="E9" s="890"/>
      <c r="F9" s="890"/>
      <c r="G9" s="890"/>
      <c r="H9" s="890"/>
      <c r="I9" s="891"/>
      <c r="J9" s="31"/>
    </row>
    <row r="10" spans="1:10" x14ac:dyDescent="0.2">
      <c r="A10" s="884"/>
      <c r="B10" s="885"/>
      <c r="C10" s="886"/>
      <c r="D10" s="890"/>
      <c r="E10" s="890"/>
      <c r="F10" s="890"/>
      <c r="G10" s="890"/>
      <c r="H10" s="890"/>
      <c r="I10" s="891"/>
      <c r="J10" s="31"/>
    </row>
    <row r="11" spans="1:10" x14ac:dyDescent="0.2">
      <c r="A11" s="884"/>
      <c r="B11" s="885"/>
      <c r="C11" s="886"/>
      <c r="D11" s="890"/>
      <c r="E11" s="890"/>
      <c r="F11" s="890"/>
      <c r="G11" s="890"/>
      <c r="H11" s="890"/>
      <c r="I11" s="891"/>
      <c r="J11" s="31"/>
    </row>
    <row r="12" spans="1:10" x14ac:dyDescent="0.2">
      <c r="A12" s="884"/>
      <c r="B12" s="885"/>
      <c r="C12" s="886"/>
      <c r="D12" s="890"/>
      <c r="E12" s="890"/>
      <c r="F12" s="890"/>
      <c r="G12" s="890"/>
      <c r="H12" s="890"/>
      <c r="I12" s="891"/>
      <c r="J12" s="31"/>
    </row>
    <row r="13" spans="1:10" x14ac:dyDescent="0.2">
      <c r="A13" s="884"/>
      <c r="B13" s="885"/>
      <c r="C13" s="886"/>
      <c r="D13" s="890"/>
      <c r="E13" s="890"/>
      <c r="F13" s="890"/>
      <c r="G13" s="890"/>
      <c r="H13" s="890"/>
      <c r="I13" s="891"/>
      <c r="J13" s="31"/>
    </row>
    <row r="14" spans="1:10" ht="15" customHeight="1" x14ac:dyDescent="0.2">
      <c r="A14" s="884"/>
      <c r="B14" s="885"/>
      <c r="C14" s="886"/>
      <c r="D14" s="892" t="s">
        <v>57</v>
      </c>
      <c r="E14" s="895" t="s">
        <v>58</v>
      </c>
      <c r="F14" s="895" t="s">
        <v>59</v>
      </c>
      <c r="G14" s="895" t="s">
        <v>60</v>
      </c>
      <c r="H14" s="895" t="s">
        <v>61</v>
      </c>
      <c r="I14" s="896" t="s">
        <v>62</v>
      </c>
      <c r="J14" s="31"/>
    </row>
    <row r="15" spans="1:10" ht="15" customHeight="1" x14ac:dyDescent="0.2">
      <c r="A15" s="884"/>
      <c r="B15" s="885"/>
      <c r="C15" s="886"/>
      <c r="D15" s="893"/>
      <c r="E15" s="895"/>
      <c r="F15" s="895"/>
      <c r="G15" s="895"/>
      <c r="H15" s="895"/>
      <c r="I15" s="896"/>
      <c r="J15" s="31"/>
    </row>
    <row r="16" spans="1:10" ht="15" customHeight="1" x14ac:dyDescent="0.2">
      <c r="A16" s="887"/>
      <c r="B16" s="888"/>
      <c r="C16" s="889"/>
      <c r="D16" s="894"/>
      <c r="E16" s="895"/>
      <c r="F16" s="895"/>
      <c r="G16" s="895"/>
      <c r="H16" s="895"/>
      <c r="I16" s="896"/>
      <c r="J16" s="31"/>
    </row>
    <row r="17" spans="1:10" ht="12.75" customHeight="1" x14ac:dyDescent="0.2">
      <c r="A17" s="869" t="s">
        <v>63</v>
      </c>
      <c r="B17" s="850" t="s">
        <v>365</v>
      </c>
      <c r="C17" s="851"/>
      <c r="D17" s="856" t="s">
        <v>64</v>
      </c>
      <c r="E17" s="868" t="s">
        <v>65</v>
      </c>
      <c r="F17" s="868" t="s">
        <v>66</v>
      </c>
      <c r="G17" s="868" t="s">
        <v>67</v>
      </c>
      <c r="H17" s="868" t="s">
        <v>68</v>
      </c>
      <c r="I17" s="849" t="s">
        <v>69</v>
      </c>
      <c r="J17" s="31"/>
    </row>
    <row r="18" spans="1:10" x14ac:dyDescent="0.2">
      <c r="A18" s="869"/>
      <c r="B18" s="852"/>
      <c r="C18" s="853"/>
      <c r="D18" s="857"/>
      <c r="E18" s="868"/>
      <c r="F18" s="868"/>
      <c r="G18" s="868"/>
      <c r="H18" s="868"/>
      <c r="I18" s="849"/>
      <c r="J18" s="31"/>
    </row>
    <row r="19" spans="1:10" x14ac:dyDescent="0.2">
      <c r="A19" s="869"/>
      <c r="B19" s="852"/>
      <c r="C19" s="853"/>
      <c r="D19" s="857"/>
      <c r="E19" s="868"/>
      <c r="F19" s="868"/>
      <c r="G19" s="868"/>
      <c r="H19" s="868"/>
      <c r="I19" s="849"/>
      <c r="J19" s="31"/>
    </row>
    <row r="20" spans="1:10" x14ac:dyDescent="0.2">
      <c r="A20" s="869"/>
      <c r="B20" s="852"/>
      <c r="C20" s="853"/>
      <c r="D20" s="857"/>
      <c r="E20" s="868"/>
      <c r="F20" s="868"/>
      <c r="G20" s="868"/>
      <c r="H20" s="868"/>
      <c r="I20" s="849"/>
      <c r="J20" s="31"/>
    </row>
    <row r="21" spans="1:10" x14ac:dyDescent="0.2">
      <c r="A21" s="869"/>
      <c r="B21" s="852"/>
      <c r="C21" s="853"/>
      <c r="D21" s="857"/>
      <c r="E21" s="868"/>
      <c r="F21" s="868"/>
      <c r="G21" s="868"/>
      <c r="H21" s="868"/>
      <c r="I21" s="849"/>
      <c r="J21" s="31"/>
    </row>
    <row r="22" spans="1:10" x14ac:dyDescent="0.2">
      <c r="A22" s="869"/>
      <c r="B22" s="852"/>
      <c r="C22" s="853"/>
      <c r="D22" s="857"/>
      <c r="E22" s="868"/>
      <c r="F22" s="868"/>
      <c r="G22" s="868"/>
      <c r="H22" s="868"/>
      <c r="I22" s="849"/>
      <c r="J22" s="31"/>
    </row>
    <row r="23" spans="1:10" x14ac:dyDescent="0.2">
      <c r="A23" s="869"/>
      <c r="B23" s="852"/>
      <c r="C23" s="853"/>
      <c r="D23" s="857"/>
      <c r="E23" s="868"/>
      <c r="F23" s="868"/>
      <c r="G23" s="868"/>
      <c r="H23" s="868"/>
      <c r="I23" s="849"/>
      <c r="J23" s="31"/>
    </row>
    <row r="24" spans="1:10" x14ac:dyDescent="0.2">
      <c r="A24" s="869"/>
      <c r="B24" s="852"/>
      <c r="C24" s="853"/>
      <c r="D24" s="857"/>
      <c r="E24" s="868"/>
      <c r="F24" s="868"/>
      <c r="G24" s="868"/>
      <c r="H24" s="868"/>
      <c r="I24" s="849"/>
      <c r="J24" s="31"/>
    </row>
    <row r="25" spans="1:10" x14ac:dyDescent="0.2">
      <c r="A25" s="869"/>
      <c r="B25" s="852"/>
      <c r="C25" s="853"/>
      <c r="D25" s="857"/>
      <c r="E25" s="868"/>
      <c r="F25" s="868"/>
      <c r="G25" s="868"/>
      <c r="H25" s="868"/>
      <c r="I25" s="849"/>
      <c r="J25" s="31"/>
    </row>
    <row r="26" spans="1:10" x14ac:dyDescent="0.2">
      <c r="A26" s="869"/>
      <c r="B26" s="852"/>
      <c r="C26" s="853"/>
      <c r="D26" s="857"/>
      <c r="E26" s="868"/>
      <c r="F26" s="868"/>
      <c r="G26" s="868"/>
      <c r="H26" s="868"/>
      <c r="I26" s="849"/>
      <c r="J26" s="31"/>
    </row>
    <row r="27" spans="1:10" x14ac:dyDescent="0.2">
      <c r="A27" s="869"/>
      <c r="B27" s="852"/>
      <c r="C27" s="853"/>
      <c r="D27" s="857"/>
      <c r="E27" s="868"/>
      <c r="F27" s="868"/>
      <c r="G27" s="868"/>
      <c r="H27" s="868"/>
      <c r="I27" s="849"/>
      <c r="J27" s="31"/>
    </row>
    <row r="28" spans="1:10" x14ac:dyDescent="0.2">
      <c r="A28" s="869"/>
      <c r="B28" s="852"/>
      <c r="C28" s="853"/>
      <c r="D28" s="857"/>
      <c r="E28" s="868"/>
      <c r="F28" s="868"/>
      <c r="G28" s="868"/>
      <c r="H28" s="868"/>
      <c r="I28" s="849"/>
      <c r="J28" s="31"/>
    </row>
    <row r="29" spans="1:10" x14ac:dyDescent="0.2">
      <c r="A29" s="869"/>
      <c r="B29" s="852"/>
      <c r="C29" s="853"/>
      <c r="D29" s="857"/>
      <c r="E29" s="868"/>
      <c r="F29" s="868"/>
      <c r="G29" s="868"/>
      <c r="H29" s="868"/>
      <c r="I29" s="849"/>
      <c r="J29" s="31"/>
    </row>
    <row r="30" spans="1:10" x14ac:dyDescent="0.2">
      <c r="A30" s="869"/>
      <c r="B30" s="852"/>
      <c r="C30" s="853"/>
      <c r="D30" s="857"/>
      <c r="E30" s="868"/>
      <c r="F30" s="868"/>
      <c r="G30" s="868"/>
      <c r="H30" s="868"/>
      <c r="I30" s="849"/>
      <c r="J30" s="31"/>
    </row>
    <row r="31" spans="1:10" x14ac:dyDescent="0.2">
      <c r="A31" s="869"/>
      <c r="B31" s="863"/>
      <c r="C31" s="864"/>
      <c r="D31" s="871"/>
      <c r="E31" s="868"/>
      <c r="F31" s="868"/>
      <c r="G31" s="868"/>
      <c r="H31" s="868"/>
      <c r="I31" s="849"/>
      <c r="J31" s="31"/>
    </row>
    <row r="32" spans="1:10" ht="12.75" customHeight="1" x14ac:dyDescent="0.2">
      <c r="A32" s="869"/>
      <c r="B32" s="850" t="s">
        <v>70</v>
      </c>
      <c r="C32" s="851"/>
      <c r="D32" s="865" t="s">
        <v>71</v>
      </c>
      <c r="E32" s="868" t="s">
        <v>366</v>
      </c>
      <c r="F32" s="868" t="s">
        <v>72</v>
      </c>
      <c r="G32" s="868" t="s">
        <v>73</v>
      </c>
      <c r="H32" s="868" t="s">
        <v>68</v>
      </c>
      <c r="I32" s="849" t="s">
        <v>69</v>
      </c>
      <c r="J32" s="31"/>
    </row>
    <row r="33" spans="1:10" x14ac:dyDescent="0.2">
      <c r="A33" s="869"/>
      <c r="B33" s="852"/>
      <c r="C33" s="853"/>
      <c r="D33" s="866"/>
      <c r="E33" s="868"/>
      <c r="F33" s="868"/>
      <c r="G33" s="868"/>
      <c r="H33" s="868"/>
      <c r="I33" s="849"/>
      <c r="J33" s="31"/>
    </row>
    <row r="34" spans="1:10" x14ac:dyDescent="0.2">
      <c r="A34" s="869"/>
      <c r="B34" s="852"/>
      <c r="C34" s="853"/>
      <c r="D34" s="866"/>
      <c r="E34" s="868"/>
      <c r="F34" s="868"/>
      <c r="G34" s="868"/>
      <c r="H34" s="868"/>
      <c r="I34" s="849"/>
      <c r="J34" s="31"/>
    </row>
    <row r="35" spans="1:10" x14ac:dyDescent="0.2">
      <c r="A35" s="869"/>
      <c r="B35" s="852"/>
      <c r="C35" s="853"/>
      <c r="D35" s="866"/>
      <c r="E35" s="868"/>
      <c r="F35" s="868"/>
      <c r="G35" s="868"/>
      <c r="H35" s="868"/>
      <c r="I35" s="849"/>
      <c r="J35" s="31"/>
    </row>
    <row r="36" spans="1:10" x14ac:dyDescent="0.2">
      <c r="A36" s="869"/>
      <c r="B36" s="852"/>
      <c r="C36" s="853"/>
      <c r="D36" s="866"/>
      <c r="E36" s="868"/>
      <c r="F36" s="868"/>
      <c r="G36" s="868"/>
      <c r="H36" s="868"/>
      <c r="I36" s="849"/>
      <c r="J36" s="31"/>
    </row>
    <row r="37" spans="1:10" x14ac:dyDescent="0.2">
      <c r="A37" s="869"/>
      <c r="B37" s="852"/>
      <c r="C37" s="853"/>
      <c r="D37" s="866"/>
      <c r="E37" s="868"/>
      <c r="F37" s="868"/>
      <c r="G37" s="868"/>
      <c r="H37" s="868"/>
      <c r="I37" s="849"/>
      <c r="J37" s="31"/>
    </row>
    <row r="38" spans="1:10" x14ac:dyDescent="0.2">
      <c r="A38" s="869"/>
      <c r="B38" s="852"/>
      <c r="C38" s="853"/>
      <c r="D38" s="866"/>
      <c r="E38" s="868"/>
      <c r="F38" s="868"/>
      <c r="G38" s="868"/>
      <c r="H38" s="868"/>
      <c r="I38" s="849"/>
      <c r="J38" s="31"/>
    </row>
    <row r="39" spans="1:10" x14ac:dyDescent="0.2">
      <c r="A39" s="869"/>
      <c r="B39" s="852"/>
      <c r="C39" s="853"/>
      <c r="D39" s="866"/>
      <c r="E39" s="868"/>
      <c r="F39" s="868"/>
      <c r="G39" s="868"/>
      <c r="H39" s="868"/>
      <c r="I39" s="849"/>
      <c r="J39" s="31"/>
    </row>
    <row r="40" spans="1:10" x14ac:dyDescent="0.2">
      <c r="A40" s="869"/>
      <c r="B40" s="852"/>
      <c r="C40" s="853"/>
      <c r="D40" s="866"/>
      <c r="E40" s="868"/>
      <c r="F40" s="868"/>
      <c r="G40" s="868"/>
      <c r="H40" s="868"/>
      <c r="I40" s="849"/>
      <c r="J40" s="31"/>
    </row>
    <row r="41" spans="1:10" x14ac:dyDescent="0.2">
      <c r="A41" s="869"/>
      <c r="B41" s="852"/>
      <c r="C41" s="853"/>
      <c r="D41" s="866"/>
      <c r="E41" s="868"/>
      <c r="F41" s="868"/>
      <c r="G41" s="868"/>
      <c r="H41" s="868"/>
      <c r="I41" s="849"/>
      <c r="J41" s="31"/>
    </row>
    <row r="42" spans="1:10" x14ac:dyDescent="0.2">
      <c r="A42" s="869"/>
      <c r="B42" s="852"/>
      <c r="C42" s="853"/>
      <c r="D42" s="866"/>
      <c r="E42" s="868"/>
      <c r="F42" s="868"/>
      <c r="G42" s="868"/>
      <c r="H42" s="868"/>
      <c r="I42" s="849"/>
      <c r="J42" s="31"/>
    </row>
    <row r="43" spans="1:10" x14ac:dyDescent="0.2">
      <c r="A43" s="869"/>
      <c r="B43" s="852"/>
      <c r="C43" s="853"/>
      <c r="D43" s="866"/>
      <c r="E43" s="868"/>
      <c r="F43" s="868"/>
      <c r="G43" s="868"/>
      <c r="H43" s="868"/>
      <c r="I43" s="849"/>
      <c r="J43" s="31"/>
    </row>
    <row r="44" spans="1:10" x14ac:dyDescent="0.2">
      <c r="A44" s="869"/>
      <c r="B44" s="852"/>
      <c r="C44" s="853"/>
      <c r="D44" s="866"/>
      <c r="E44" s="868"/>
      <c r="F44" s="868"/>
      <c r="G44" s="868"/>
      <c r="H44" s="868"/>
      <c r="I44" s="849"/>
      <c r="J44" s="31"/>
    </row>
    <row r="45" spans="1:10" x14ac:dyDescent="0.2">
      <c r="A45" s="869"/>
      <c r="B45" s="852"/>
      <c r="C45" s="853"/>
      <c r="D45" s="866"/>
      <c r="E45" s="868"/>
      <c r="F45" s="868"/>
      <c r="G45" s="868"/>
      <c r="H45" s="868"/>
      <c r="I45" s="849"/>
      <c r="J45" s="31"/>
    </row>
    <row r="46" spans="1:10" x14ac:dyDescent="0.2">
      <c r="A46" s="869"/>
      <c r="B46" s="852"/>
      <c r="C46" s="853"/>
      <c r="D46" s="866"/>
      <c r="E46" s="868"/>
      <c r="F46" s="868"/>
      <c r="G46" s="868"/>
      <c r="H46" s="868"/>
      <c r="I46" s="849"/>
      <c r="J46" s="31"/>
    </row>
    <row r="47" spans="1:10" x14ac:dyDescent="0.2">
      <c r="A47" s="869"/>
      <c r="B47" s="852"/>
      <c r="C47" s="853"/>
      <c r="D47" s="866"/>
      <c r="E47" s="868"/>
      <c r="F47" s="868"/>
      <c r="G47" s="868"/>
      <c r="H47" s="868"/>
      <c r="I47" s="849"/>
      <c r="J47" s="31"/>
    </row>
    <row r="48" spans="1:10" x14ac:dyDescent="0.2">
      <c r="A48" s="869"/>
      <c r="B48" s="852"/>
      <c r="C48" s="853"/>
      <c r="D48" s="866"/>
      <c r="E48" s="868"/>
      <c r="F48" s="868"/>
      <c r="G48" s="868"/>
      <c r="H48" s="868"/>
      <c r="I48" s="849"/>
      <c r="J48" s="31"/>
    </row>
    <row r="49" spans="1:10" x14ac:dyDescent="0.2">
      <c r="A49" s="869"/>
      <c r="B49" s="852"/>
      <c r="C49" s="853"/>
      <c r="D49" s="866"/>
      <c r="E49" s="868"/>
      <c r="F49" s="868"/>
      <c r="G49" s="868"/>
      <c r="H49" s="868"/>
      <c r="I49" s="849"/>
      <c r="J49" s="31"/>
    </row>
    <row r="50" spans="1:10" x14ac:dyDescent="0.2">
      <c r="A50" s="869"/>
      <c r="B50" s="863"/>
      <c r="C50" s="864"/>
      <c r="D50" s="867"/>
      <c r="E50" s="868"/>
      <c r="F50" s="868"/>
      <c r="G50" s="868"/>
      <c r="H50" s="868"/>
      <c r="I50" s="849"/>
      <c r="J50" s="31"/>
    </row>
    <row r="51" spans="1:10" ht="12.75" customHeight="1" x14ac:dyDescent="0.2">
      <c r="A51" s="869"/>
      <c r="B51" s="850" t="s">
        <v>362</v>
      </c>
      <c r="C51" s="851"/>
      <c r="D51" s="865" t="s">
        <v>74</v>
      </c>
      <c r="E51" s="868" t="s">
        <v>75</v>
      </c>
      <c r="F51" s="868" t="s">
        <v>76</v>
      </c>
      <c r="G51" s="868" t="s">
        <v>77</v>
      </c>
      <c r="H51" s="868" t="s">
        <v>68</v>
      </c>
      <c r="I51" s="849" t="s">
        <v>361</v>
      </c>
      <c r="J51" s="31"/>
    </row>
    <row r="52" spans="1:10" x14ac:dyDescent="0.2">
      <c r="A52" s="869"/>
      <c r="B52" s="852"/>
      <c r="C52" s="853"/>
      <c r="D52" s="866"/>
      <c r="E52" s="868"/>
      <c r="F52" s="868"/>
      <c r="G52" s="868"/>
      <c r="H52" s="868"/>
      <c r="I52" s="849"/>
      <c r="J52" s="31"/>
    </row>
    <row r="53" spans="1:10" x14ac:dyDescent="0.2">
      <c r="A53" s="869"/>
      <c r="B53" s="852"/>
      <c r="C53" s="853"/>
      <c r="D53" s="866"/>
      <c r="E53" s="868"/>
      <c r="F53" s="868"/>
      <c r="G53" s="868"/>
      <c r="H53" s="868"/>
      <c r="I53" s="849"/>
      <c r="J53" s="31"/>
    </row>
    <row r="54" spans="1:10" x14ac:dyDescent="0.2">
      <c r="A54" s="869"/>
      <c r="B54" s="852"/>
      <c r="C54" s="853"/>
      <c r="D54" s="866"/>
      <c r="E54" s="868"/>
      <c r="F54" s="868"/>
      <c r="G54" s="868"/>
      <c r="H54" s="868"/>
      <c r="I54" s="849"/>
      <c r="J54" s="31"/>
    </row>
    <row r="55" spans="1:10" x14ac:dyDescent="0.2">
      <c r="A55" s="869"/>
      <c r="B55" s="852"/>
      <c r="C55" s="853"/>
      <c r="D55" s="866"/>
      <c r="E55" s="868"/>
      <c r="F55" s="868"/>
      <c r="G55" s="868"/>
      <c r="H55" s="868"/>
      <c r="I55" s="849"/>
      <c r="J55" s="31"/>
    </row>
    <row r="56" spans="1:10" x14ac:dyDescent="0.2">
      <c r="A56" s="869"/>
      <c r="B56" s="852"/>
      <c r="C56" s="853"/>
      <c r="D56" s="866"/>
      <c r="E56" s="868"/>
      <c r="F56" s="868"/>
      <c r="G56" s="868"/>
      <c r="H56" s="868"/>
      <c r="I56" s="849"/>
      <c r="J56" s="31"/>
    </row>
    <row r="57" spans="1:10" x14ac:dyDescent="0.2">
      <c r="A57" s="869"/>
      <c r="B57" s="852"/>
      <c r="C57" s="853"/>
      <c r="D57" s="866"/>
      <c r="E57" s="868"/>
      <c r="F57" s="868"/>
      <c r="G57" s="868"/>
      <c r="H57" s="868"/>
      <c r="I57" s="849"/>
      <c r="J57" s="31"/>
    </row>
    <row r="58" spans="1:10" x14ac:dyDescent="0.2">
      <c r="A58" s="869"/>
      <c r="B58" s="852"/>
      <c r="C58" s="853"/>
      <c r="D58" s="866"/>
      <c r="E58" s="868"/>
      <c r="F58" s="868"/>
      <c r="G58" s="868"/>
      <c r="H58" s="868"/>
      <c r="I58" s="849"/>
      <c r="J58" s="31"/>
    </row>
    <row r="59" spans="1:10" x14ac:dyDescent="0.2">
      <c r="A59" s="869"/>
      <c r="B59" s="852"/>
      <c r="C59" s="853"/>
      <c r="D59" s="866"/>
      <c r="E59" s="868"/>
      <c r="F59" s="868"/>
      <c r="G59" s="868"/>
      <c r="H59" s="868"/>
      <c r="I59" s="849"/>
      <c r="J59" s="31"/>
    </row>
    <row r="60" spans="1:10" x14ac:dyDescent="0.2">
      <c r="A60" s="869"/>
      <c r="B60" s="852"/>
      <c r="C60" s="853"/>
      <c r="D60" s="866"/>
      <c r="E60" s="868"/>
      <c r="F60" s="868"/>
      <c r="G60" s="868"/>
      <c r="H60" s="868"/>
      <c r="I60" s="849"/>
      <c r="J60" s="31"/>
    </row>
    <row r="61" spans="1:10" x14ac:dyDescent="0.2">
      <c r="A61" s="869"/>
      <c r="B61" s="852"/>
      <c r="C61" s="853"/>
      <c r="D61" s="866"/>
      <c r="E61" s="868"/>
      <c r="F61" s="868"/>
      <c r="G61" s="868"/>
      <c r="H61" s="868"/>
      <c r="I61" s="849"/>
      <c r="J61" s="31"/>
    </row>
    <row r="62" spans="1:10" x14ac:dyDescent="0.2">
      <c r="A62" s="869"/>
      <c r="B62" s="852"/>
      <c r="C62" s="853"/>
      <c r="D62" s="866"/>
      <c r="E62" s="868"/>
      <c r="F62" s="868"/>
      <c r="G62" s="868"/>
      <c r="H62" s="868"/>
      <c r="I62" s="849"/>
      <c r="J62" s="31"/>
    </row>
    <row r="63" spans="1:10" x14ac:dyDescent="0.2">
      <c r="A63" s="869"/>
      <c r="B63" s="863"/>
      <c r="C63" s="864"/>
      <c r="D63" s="867"/>
      <c r="E63" s="868"/>
      <c r="F63" s="868"/>
      <c r="G63" s="868"/>
      <c r="H63" s="868"/>
      <c r="I63" s="849"/>
      <c r="J63" s="31"/>
    </row>
    <row r="64" spans="1:10" ht="12.75" customHeight="1" x14ac:dyDescent="0.2">
      <c r="A64" s="869"/>
      <c r="B64" s="850" t="s">
        <v>78</v>
      </c>
      <c r="C64" s="851"/>
      <c r="D64" s="865" t="s">
        <v>79</v>
      </c>
      <c r="E64" s="868" t="s">
        <v>80</v>
      </c>
      <c r="F64" s="868" t="s">
        <v>81</v>
      </c>
      <c r="G64" s="868" t="s">
        <v>82</v>
      </c>
      <c r="H64" s="868" t="s">
        <v>68</v>
      </c>
      <c r="I64" s="849" t="s">
        <v>361</v>
      </c>
      <c r="J64" s="31"/>
    </row>
    <row r="65" spans="1:10" x14ac:dyDescent="0.2">
      <c r="A65" s="869"/>
      <c r="B65" s="852"/>
      <c r="C65" s="853"/>
      <c r="D65" s="866"/>
      <c r="E65" s="868"/>
      <c r="F65" s="868"/>
      <c r="G65" s="868"/>
      <c r="H65" s="868"/>
      <c r="I65" s="849"/>
      <c r="J65" s="31"/>
    </row>
    <row r="66" spans="1:10" x14ac:dyDescent="0.2">
      <c r="A66" s="869"/>
      <c r="B66" s="852"/>
      <c r="C66" s="853"/>
      <c r="D66" s="866"/>
      <c r="E66" s="868"/>
      <c r="F66" s="868"/>
      <c r="G66" s="868"/>
      <c r="H66" s="868"/>
      <c r="I66" s="849"/>
      <c r="J66" s="31"/>
    </row>
    <row r="67" spans="1:10" x14ac:dyDescent="0.2">
      <c r="A67" s="869"/>
      <c r="B67" s="852"/>
      <c r="C67" s="853"/>
      <c r="D67" s="866"/>
      <c r="E67" s="868"/>
      <c r="F67" s="868"/>
      <c r="G67" s="868"/>
      <c r="H67" s="868"/>
      <c r="I67" s="849"/>
      <c r="J67" s="31"/>
    </row>
    <row r="68" spans="1:10" x14ac:dyDescent="0.2">
      <c r="A68" s="869"/>
      <c r="B68" s="852"/>
      <c r="C68" s="853"/>
      <c r="D68" s="866"/>
      <c r="E68" s="868"/>
      <c r="F68" s="868"/>
      <c r="G68" s="868"/>
      <c r="H68" s="868"/>
      <c r="I68" s="849"/>
      <c r="J68" s="31"/>
    </row>
    <row r="69" spans="1:10" x14ac:dyDescent="0.2">
      <c r="A69" s="869"/>
      <c r="B69" s="852"/>
      <c r="C69" s="853"/>
      <c r="D69" s="866"/>
      <c r="E69" s="868"/>
      <c r="F69" s="868"/>
      <c r="G69" s="868"/>
      <c r="H69" s="868"/>
      <c r="I69" s="849"/>
      <c r="J69" s="31"/>
    </row>
    <row r="70" spans="1:10" x14ac:dyDescent="0.2">
      <c r="A70" s="869"/>
      <c r="B70" s="852"/>
      <c r="C70" s="853"/>
      <c r="D70" s="866"/>
      <c r="E70" s="868"/>
      <c r="F70" s="868"/>
      <c r="G70" s="868"/>
      <c r="H70" s="868"/>
      <c r="I70" s="849"/>
      <c r="J70" s="31"/>
    </row>
    <row r="71" spans="1:10" x14ac:dyDescent="0.2">
      <c r="A71" s="869"/>
      <c r="B71" s="852"/>
      <c r="C71" s="853"/>
      <c r="D71" s="866"/>
      <c r="E71" s="868"/>
      <c r="F71" s="868"/>
      <c r="G71" s="868"/>
      <c r="H71" s="868"/>
      <c r="I71" s="849"/>
      <c r="J71" s="31"/>
    </row>
    <row r="72" spans="1:10" x14ac:dyDescent="0.2">
      <c r="A72" s="869"/>
      <c r="B72" s="852"/>
      <c r="C72" s="853"/>
      <c r="D72" s="866"/>
      <c r="E72" s="868"/>
      <c r="F72" s="868"/>
      <c r="G72" s="868"/>
      <c r="H72" s="868"/>
      <c r="I72" s="849"/>
      <c r="J72" s="31"/>
    </row>
    <row r="73" spans="1:10" x14ac:dyDescent="0.2">
      <c r="A73" s="869"/>
      <c r="B73" s="863"/>
      <c r="C73" s="864"/>
      <c r="D73" s="867"/>
      <c r="E73" s="868"/>
      <c r="F73" s="868"/>
      <c r="G73" s="868"/>
      <c r="H73" s="868"/>
      <c r="I73" s="849"/>
      <c r="J73" s="31"/>
    </row>
    <row r="74" spans="1:10" ht="12.75" customHeight="1" x14ac:dyDescent="0.2">
      <c r="A74" s="869"/>
      <c r="B74" s="850" t="s">
        <v>83</v>
      </c>
      <c r="C74" s="851"/>
      <c r="D74" s="865" t="s">
        <v>84</v>
      </c>
      <c r="E74" s="868" t="s">
        <v>80</v>
      </c>
      <c r="F74" s="868" t="s">
        <v>85</v>
      </c>
      <c r="G74" s="868" t="s">
        <v>82</v>
      </c>
      <c r="H74" s="868" t="s">
        <v>68</v>
      </c>
      <c r="I74" s="849" t="s">
        <v>361</v>
      </c>
      <c r="J74" s="31"/>
    </row>
    <row r="75" spans="1:10" x14ac:dyDescent="0.2">
      <c r="A75" s="869"/>
      <c r="B75" s="852"/>
      <c r="C75" s="853"/>
      <c r="D75" s="866"/>
      <c r="E75" s="868"/>
      <c r="F75" s="868"/>
      <c r="G75" s="868"/>
      <c r="H75" s="868"/>
      <c r="I75" s="849"/>
      <c r="J75" s="31"/>
    </row>
    <row r="76" spans="1:10" x14ac:dyDescent="0.2">
      <c r="A76" s="869"/>
      <c r="B76" s="852"/>
      <c r="C76" s="853"/>
      <c r="D76" s="866"/>
      <c r="E76" s="868"/>
      <c r="F76" s="868"/>
      <c r="G76" s="868"/>
      <c r="H76" s="868"/>
      <c r="I76" s="849"/>
      <c r="J76" s="31"/>
    </row>
    <row r="77" spans="1:10" x14ac:dyDescent="0.2">
      <c r="A77" s="869"/>
      <c r="B77" s="852"/>
      <c r="C77" s="853"/>
      <c r="D77" s="866"/>
      <c r="E77" s="868"/>
      <c r="F77" s="868"/>
      <c r="G77" s="868"/>
      <c r="H77" s="868"/>
      <c r="I77" s="849"/>
      <c r="J77" s="31"/>
    </row>
    <row r="78" spans="1:10" x14ac:dyDescent="0.2">
      <c r="A78" s="869"/>
      <c r="B78" s="852"/>
      <c r="C78" s="853"/>
      <c r="D78" s="866"/>
      <c r="E78" s="868"/>
      <c r="F78" s="868"/>
      <c r="G78" s="868"/>
      <c r="H78" s="868"/>
      <c r="I78" s="849"/>
      <c r="J78" s="31"/>
    </row>
    <row r="79" spans="1:10" x14ac:dyDescent="0.2">
      <c r="A79" s="869"/>
      <c r="B79" s="852"/>
      <c r="C79" s="853"/>
      <c r="D79" s="866"/>
      <c r="E79" s="868"/>
      <c r="F79" s="868"/>
      <c r="G79" s="868"/>
      <c r="H79" s="868"/>
      <c r="I79" s="849"/>
      <c r="J79" s="31"/>
    </row>
    <row r="80" spans="1:10" x14ac:dyDescent="0.2">
      <c r="A80" s="869"/>
      <c r="B80" s="852"/>
      <c r="C80" s="853"/>
      <c r="D80" s="866"/>
      <c r="E80" s="868"/>
      <c r="F80" s="868"/>
      <c r="G80" s="868"/>
      <c r="H80" s="868"/>
      <c r="I80" s="849"/>
      <c r="J80" s="31"/>
    </row>
    <row r="81" spans="1:10" x14ac:dyDescent="0.2">
      <c r="A81" s="869"/>
      <c r="B81" s="852"/>
      <c r="C81" s="853"/>
      <c r="D81" s="866"/>
      <c r="E81" s="868"/>
      <c r="F81" s="868"/>
      <c r="G81" s="868"/>
      <c r="H81" s="868"/>
      <c r="I81" s="849"/>
      <c r="J81" s="31"/>
    </row>
    <row r="82" spans="1:10" x14ac:dyDescent="0.2">
      <c r="A82" s="869"/>
      <c r="B82" s="852"/>
      <c r="C82" s="853"/>
      <c r="D82" s="866"/>
      <c r="E82" s="868"/>
      <c r="F82" s="868"/>
      <c r="G82" s="868"/>
      <c r="H82" s="868"/>
      <c r="I82" s="849"/>
      <c r="J82" s="31"/>
    </row>
    <row r="83" spans="1:10" x14ac:dyDescent="0.2">
      <c r="A83" s="869"/>
      <c r="B83" s="863"/>
      <c r="C83" s="864"/>
      <c r="D83" s="867"/>
      <c r="E83" s="868"/>
      <c r="F83" s="868"/>
      <c r="G83" s="868"/>
      <c r="H83" s="868"/>
      <c r="I83" s="849"/>
      <c r="J83" s="31"/>
    </row>
    <row r="84" spans="1:10" ht="25.5" customHeight="1" x14ac:dyDescent="0.2">
      <c r="A84" s="869"/>
      <c r="B84" s="850" t="s">
        <v>86</v>
      </c>
      <c r="C84" s="851"/>
      <c r="D84" s="856" t="s">
        <v>87</v>
      </c>
      <c r="E84" s="859" t="s">
        <v>58</v>
      </c>
      <c r="F84" s="859" t="s">
        <v>88</v>
      </c>
      <c r="G84" s="859" t="s">
        <v>89</v>
      </c>
      <c r="H84" s="859" t="s">
        <v>68</v>
      </c>
      <c r="I84" s="861" t="s">
        <v>361</v>
      </c>
      <c r="J84" s="31"/>
    </row>
    <row r="85" spans="1:10" x14ac:dyDescent="0.2">
      <c r="A85" s="869"/>
      <c r="B85" s="852"/>
      <c r="C85" s="853"/>
      <c r="D85" s="857"/>
      <c r="E85" s="859"/>
      <c r="F85" s="859"/>
      <c r="G85" s="859"/>
      <c r="H85" s="859"/>
      <c r="I85" s="861"/>
      <c r="J85" s="31"/>
    </row>
    <row r="86" spans="1:10" x14ac:dyDescent="0.2">
      <c r="A86" s="869"/>
      <c r="B86" s="852"/>
      <c r="C86" s="853"/>
      <c r="D86" s="857"/>
      <c r="E86" s="859"/>
      <c r="F86" s="859"/>
      <c r="G86" s="859"/>
      <c r="H86" s="859"/>
      <c r="I86" s="861"/>
      <c r="J86" s="31"/>
    </row>
    <row r="87" spans="1:10" x14ac:dyDescent="0.2">
      <c r="A87" s="869"/>
      <c r="B87" s="852"/>
      <c r="C87" s="853"/>
      <c r="D87" s="857"/>
      <c r="E87" s="859"/>
      <c r="F87" s="859"/>
      <c r="G87" s="859"/>
      <c r="H87" s="859"/>
      <c r="I87" s="861"/>
      <c r="J87" s="31"/>
    </row>
    <row r="88" spans="1:10" ht="12.75" customHeight="1" x14ac:dyDescent="0.2">
      <c r="A88" s="869"/>
      <c r="B88" s="852"/>
      <c r="C88" s="853"/>
      <c r="D88" s="857"/>
      <c r="E88" s="859"/>
      <c r="F88" s="859"/>
      <c r="G88" s="859"/>
      <c r="H88" s="859"/>
      <c r="I88" s="861"/>
      <c r="J88" s="31"/>
    </row>
    <row r="89" spans="1:10" x14ac:dyDescent="0.2">
      <c r="A89" s="869"/>
      <c r="B89" s="852"/>
      <c r="C89" s="853"/>
      <c r="D89" s="857"/>
      <c r="E89" s="859"/>
      <c r="F89" s="859"/>
      <c r="G89" s="859"/>
      <c r="H89" s="859"/>
      <c r="I89" s="861"/>
      <c r="J89" s="31"/>
    </row>
    <row r="90" spans="1:10" ht="13.5" thickBot="1" x14ac:dyDescent="0.25">
      <c r="A90" s="870"/>
      <c r="B90" s="854"/>
      <c r="C90" s="855"/>
      <c r="D90" s="858"/>
      <c r="E90" s="860"/>
      <c r="F90" s="860"/>
      <c r="G90" s="860"/>
      <c r="H90" s="860"/>
      <c r="I90" s="862"/>
      <c r="J90" s="31"/>
    </row>
    <row r="91" spans="1:10" ht="13.5" thickTop="1" x14ac:dyDescent="0.2"/>
  </sheetData>
  <sheetProtection password="E686" sheet="1"/>
  <mergeCells count="53">
    <mergeCell ref="A1:I2"/>
    <mergeCell ref="A3:I8"/>
    <mergeCell ref="A9:C16"/>
    <mergeCell ref="D9:I13"/>
    <mergeCell ref="D14:D16"/>
    <mergeCell ref="E14:E16"/>
    <mergeCell ref="F14:F16"/>
    <mergeCell ref="G14:G16"/>
    <mergeCell ref="H14:H16"/>
    <mergeCell ref="I14:I16"/>
    <mergeCell ref="A17:A90"/>
    <mergeCell ref="B17:C31"/>
    <mergeCell ref="D17:D31"/>
    <mergeCell ref="E17:E31"/>
    <mergeCell ref="F17:F31"/>
    <mergeCell ref="B51:C63"/>
    <mergeCell ref="D51:D63"/>
    <mergeCell ref="E51:E63"/>
    <mergeCell ref="F51:F63"/>
    <mergeCell ref="H17:H31"/>
    <mergeCell ref="I17:I31"/>
    <mergeCell ref="B32:C50"/>
    <mergeCell ref="D32:D50"/>
    <mergeCell ref="E32:E50"/>
    <mergeCell ref="F32:F50"/>
    <mergeCell ref="G32:G50"/>
    <mergeCell ref="H32:H50"/>
    <mergeCell ref="I32:I50"/>
    <mergeCell ref="G17:G31"/>
    <mergeCell ref="G51:G63"/>
    <mergeCell ref="H51:H63"/>
    <mergeCell ref="I51:I63"/>
    <mergeCell ref="B64:C73"/>
    <mergeCell ref="D64:D73"/>
    <mergeCell ref="E64:E73"/>
    <mergeCell ref="F64:F73"/>
    <mergeCell ref="G64:G73"/>
    <mergeCell ref="H64:H73"/>
    <mergeCell ref="I64:I73"/>
    <mergeCell ref="I74:I83"/>
    <mergeCell ref="B84:C90"/>
    <mergeCell ref="D84:D90"/>
    <mergeCell ref="E84:E90"/>
    <mergeCell ref="F84:F90"/>
    <mergeCell ref="G84:G90"/>
    <mergeCell ref="H84:H90"/>
    <mergeCell ref="I84:I90"/>
    <mergeCell ref="B74:C83"/>
    <mergeCell ref="D74:D83"/>
    <mergeCell ref="E74:E83"/>
    <mergeCell ref="F74:F83"/>
    <mergeCell ref="G74:G83"/>
    <mergeCell ref="H74:H83"/>
  </mergeCells>
  <printOptions gridLines="1"/>
  <pageMargins left="0.75" right="0.75" top="1" bottom="1" header="0.5" footer="0.5"/>
  <pageSetup scale="96" fitToHeight="0" orientation="landscape" r:id="rId1"/>
  <headerFooter alignWithMargins="0">
    <oddHeader>&amp;LFFY 2012 Consolidated Application&amp;C&amp;A&amp;R&amp;P of &amp;N</oddHeader>
  </headerFooter>
  <rowBreaks count="2" manualBreakCount="2">
    <brk id="31" max="16383" man="1"/>
    <brk id="6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workbookViewId="0">
      <selection activeCell="A4" sqref="A4"/>
    </sheetView>
  </sheetViews>
  <sheetFormatPr defaultRowHeight="12.75" x14ac:dyDescent="0.2"/>
  <cols>
    <col min="1" max="1" width="19.42578125" customWidth="1"/>
  </cols>
  <sheetData>
    <row r="1" spans="1:5" x14ac:dyDescent="0.2">
      <c r="A1" s="22" t="s">
        <v>6</v>
      </c>
      <c r="E1" t="s">
        <v>395</v>
      </c>
    </row>
    <row r="2" spans="1:5" x14ac:dyDescent="0.2">
      <c r="A2" s="22" t="s">
        <v>7</v>
      </c>
      <c r="E2" t="s">
        <v>396</v>
      </c>
    </row>
    <row r="3" spans="1:5" x14ac:dyDescent="0.2">
      <c r="E3" t="s">
        <v>397</v>
      </c>
    </row>
    <row r="4" spans="1:5" x14ac:dyDescent="0.2">
      <c r="A4" t="s">
        <v>23</v>
      </c>
      <c r="E4" t="s">
        <v>398</v>
      </c>
    </row>
    <row r="5" spans="1:5" x14ac:dyDescent="0.2">
      <c r="E5" t="s">
        <v>579</v>
      </c>
    </row>
    <row r="6" spans="1:5" x14ac:dyDescent="0.2">
      <c r="A6" s="30" t="s">
        <v>50</v>
      </c>
      <c r="E6" t="s">
        <v>399</v>
      </c>
    </row>
    <row r="7" spans="1:5" x14ac:dyDescent="0.2">
      <c r="A7" s="30" t="s">
        <v>51</v>
      </c>
      <c r="E7" t="s">
        <v>400</v>
      </c>
    </row>
    <row r="8" spans="1:5" x14ac:dyDescent="0.2">
      <c r="A8" s="30" t="s">
        <v>94</v>
      </c>
      <c r="E8" t="s">
        <v>401</v>
      </c>
    </row>
    <row r="9" spans="1:5" x14ac:dyDescent="0.2">
      <c r="A9" s="30" t="s">
        <v>135</v>
      </c>
      <c r="E9" t="s">
        <v>402</v>
      </c>
    </row>
    <row r="10" spans="1:5" x14ac:dyDescent="0.2">
      <c r="A10" s="30" t="s">
        <v>95</v>
      </c>
      <c r="E10" t="s">
        <v>403</v>
      </c>
    </row>
    <row r="11" spans="1:5" x14ac:dyDescent="0.2">
      <c r="A11" s="30" t="s">
        <v>52</v>
      </c>
      <c r="E11" t="s">
        <v>404</v>
      </c>
    </row>
    <row r="12" spans="1:5" x14ac:dyDescent="0.2">
      <c r="E12" t="s">
        <v>405</v>
      </c>
    </row>
    <row r="13" spans="1:5" x14ac:dyDescent="0.2">
      <c r="A13" s="30" t="s">
        <v>145</v>
      </c>
      <c r="E13" t="s">
        <v>406</v>
      </c>
    </row>
    <row r="14" spans="1:5" x14ac:dyDescent="0.2">
      <c r="A14" s="30" t="s">
        <v>146</v>
      </c>
      <c r="E14" t="s">
        <v>407</v>
      </c>
    </row>
    <row r="15" spans="1:5" x14ac:dyDescent="0.2">
      <c r="E15" t="s">
        <v>581</v>
      </c>
    </row>
    <row r="16" spans="1:5" x14ac:dyDescent="0.2">
      <c r="E16" t="s">
        <v>408</v>
      </c>
    </row>
    <row r="17" spans="5:5" x14ac:dyDescent="0.2">
      <c r="E17" t="s">
        <v>409</v>
      </c>
    </row>
    <row r="18" spans="5:5" x14ac:dyDescent="0.2">
      <c r="E18" t="s">
        <v>580</v>
      </c>
    </row>
    <row r="19" spans="5:5" x14ac:dyDescent="0.2">
      <c r="E19" t="s">
        <v>410</v>
      </c>
    </row>
    <row r="20" spans="5:5" x14ac:dyDescent="0.2">
      <c r="E20" t="s">
        <v>411</v>
      </c>
    </row>
    <row r="21" spans="5:5" x14ac:dyDescent="0.2">
      <c r="E21" t="s">
        <v>412</v>
      </c>
    </row>
    <row r="22" spans="5:5" x14ac:dyDescent="0.2">
      <c r="E22" t="s">
        <v>413</v>
      </c>
    </row>
    <row r="23" spans="5:5" x14ac:dyDescent="0.2">
      <c r="E23" t="s">
        <v>414</v>
      </c>
    </row>
    <row r="24" spans="5:5" x14ac:dyDescent="0.2">
      <c r="E24" t="s">
        <v>415</v>
      </c>
    </row>
    <row r="25" spans="5:5" x14ac:dyDescent="0.2">
      <c r="E25" t="s">
        <v>416</v>
      </c>
    </row>
    <row r="26" spans="5:5" x14ac:dyDescent="0.2">
      <c r="E26" t="s">
        <v>417</v>
      </c>
    </row>
    <row r="27" spans="5:5" x14ac:dyDescent="0.2">
      <c r="E27" t="s">
        <v>418</v>
      </c>
    </row>
    <row r="28" spans="5:5" x14ac:dyDescent="0.2">
      <c r="E28" t="s">
        <v>419</v>
      </c>
    </row>
    <row r="29" spans="5:5" x14ac:dyDescent="0.2">
      <c r="E29" t="s">
        <v>420</v>
      </c>
    </row>
    <row r="30" spans="5:5" x14ac:dyDescent="0.2">
      <c r="E30" t="s">
        <v>421</v>
      </c>
    </row>
    <row r="31" spans="5:5" x14ac:dyDescent="0.2">
      <c r="E31" t="s">
        <v>422</v>
      </c>
    </row>
    <row r="32" spans="5:5" x14ac:dyDescent="0.2">
      <c r="E32" t="s">
        <v>423</v>
      </c>
    </row>
    <row r="33" spans="5:5" x14ac:dyDescent="0.2">
      <c r="E33" t="s">
        <v>424</v>
      </c>
    </row>
    <row r="34" spans="5:5" x14ac:dyDescent="0.2">
      <c r="E34" t="s">
        <v>511</v>
      </c>
    </row>
    <row r="35" spans="5:5" x14ac:dyDescent="0.2">
      <c r="E35" t="s">
        <v>425</v>
      </c>
    </row>
    <row r="36" spans="5:5" x14ac:dyDescent="0.2">
      <c r="E36" t="s">
        <v>426</v>
      </c>
    </row>
    <row r="37" spans="5:5" x14ac:dyDescent="0.2">
      <c r="E37" t="s">
        <v>427</v>
      </c>
    </row>
    <row r="38" spans="5:5" x14ac:dyDescent="0.2">
      <c r="E38" t="s">
        <v>428</v>
      </c>
    </row>
    <row r="39" spans="5:5" x14ac:dyDescent="0.2">
      <c r="E39" t="s">
        <v>429</v>
      </c>
    </row>
    <row r="40" spans="5:5" x14ac:dyDescent="0.2">
      <c r="E40" t="s">
        <v>430</v>
      </c>
    </row>
    <row r="41" spans="5:5" x14ac:dyDescent="0.2">
      <c r="E41" t="s">
        <v>431</v>
      </c>
    </row>
    <row r="42" spans="5:5" x14ac:dyDescent="0.2">
      <c r="E42" t="s">
        <v>432</v>
      </c>
    </row>
    <row r="43" spans="5:5" x14ac:dyDescent="0.2">
      <c r="E43" t="s">
        <v>512</v>
      </c>
    </row>
    <row r="44" spans="5:5" x14ac:dyDescent="0.2">
      <c r="E44" t="s">
        <v>433</v>
      </c>
    </row>
    <row r="45" spans="5:5" x14ac:dyDescent="0.2">
      <c r="E45" t="s">
        <v>434</v>
      </c>
    </row>
    <row r="46" spans="5:5" x14ac:dyDescent="0.2">
      <c r="E46" t="s">
        <v>435</v>
      </c>
    </row>
    <row r="47" spans="5:5" x14ac:dyDescent="0.2">
      <c r="E47" t="s">
        <v>436</v>
      </c>
    </row>
    <row r="48" spans="5:5" x14ac:dyDescent="0.2">
      <c r="E48" t="s">
        <v>437</v>
      </c>
    </row>
    <row r="49" spans="5:5" x14ac:dyDescent="0.2">
      <c r="E49" t="s">
        <v>438</v>
      </c>
    </row>
    <row r="50" spans="5:5" x14ac:dyDescent="0.2">
      <c r="E50" t="s">
        <v>513</v>
      </c>
    </row>
    <row r="51" spans="5:5" x14ac:dyDescent="0.2">
      <c r="E51" t="s">
        <v>439</v>
      </c>
    </row>
    <row r="52" spans="5:5" x14ac:dyDescent="0.2">
      <c r="E52" t="s">
        <v>440</v>
      </c>
    </row>
    <row r="53" spans="5:5" x14ac:dyDescent="0.2">
      <c r="E53" t="s">
        <v>441</v>
      </c>
    </row>
    <row r="54" spans="5:5" x14ac:dyDescent="0.2">
      <c r="E54" t="s">
        <v>442</v>
      </c>
    </row>
    <row r="55" spans="5:5" x14ac:dyDescent="0.2">
      <c r="E55" t="s">
        <v>514</v>
      </c>
    </row>
    <row r="56" spans="5:5" x14ac:dyDescent="0.2">
      <c r="E56" t="s">
        <v>443</v>
      </c>
    </row>
    <row r="57" spans="5:5" x14ac:dyDescent="0.2">
      <c r="E57" t="s">
        <v>444</v>
      </c>
    </row>
    <row r="58" spans="5:5" x14ac:dyDescent="0.2">
      <c r="E58" t="s">
        <v>445</v>
      </c>
    </row>
    <row r="59" spans="5:5" x14ac:dyDescent="0.2">
      <c r="E59" t="s">
        <v>446</v>
      </c>
    </row>
    <row r="60" spans="5:5" x14ac:dyDescent="0.2">
      <c r="E60" t="s">
        <v>447</v>
      </c>
    </row>
    <row r="61" spans="5:5" x14ac:dyDescent="0.2">
      <c r="E61" t="s">
        <v>448</v>
      </c>
    </row>
    <row r="62" spans="5:5" x14ac:dyDescent="0.2">
      <c r="E62" t="s">
        <v>449</v>
      </c>
    </row>
    <row r="63" spans="5:5" x14ac:dyDescent="0.2">
      <c r="E63" t="s">
        <v>450</v>
      </c>
    </row>
    <row r="64" spans="5:5" x14ac:dyDescent="0.2">
      <c r="E64" t="s">
        <v>451</v>
      </c>
    </row>
    <row r="65" spans="5:5" x14ac:dyDescent="0.2">
      <c r="E65" t="s">
        <v>452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L118"/>
  <sheetViews>
    <sheetView zoomScale="90" zoomScaleNormal="90" workbookViewId="0">
      <selection activeCell="D55" sqref="D55"/>
    </sheetView>
  </sheetViews>
  <sheetFormatPr defaultColWidth="9.140625" defaultRowHeight="12.75" x14ac:dyDescent="0.2"/>
  <cols>
    <col min="1" max="3" width="15.7109375" style="165" customWidth="1"/>
    <col min="4" max="4" width="15.7109375" style="167" customWidth="1"/>
    <col min="5" max="5" width="15.7109375" style="165" customWidth="1"/>
    <col min="6" max="6" width="15.7109375" style="168" customWidth="1"/>
    <col min="7" max="7" width="15.7109375" style="169" customWidth="1"/>
    <col min="8" max="9" width="15.7109375" style="165" customWidth="1"/>
    <col min="10" max="10" width="15.85546875" style="165" customWidth="1"/>
    <col min="11" max="11" width="9.140625" style="165" hidden="1" customWidth="1"/>
    <col min="12" max="16384" width="9.140625" style="165"/>
  </cols>
  <sheetData>
    <row r="1" spans="1:12" ht="30" customHeight="1" x14ac:dyDescent="0.2">
      <c r="A1" s="906" t="s">
        <v>376</v>
      </c>
      <c r="B1" s="907"/>
      <c r="C1" s="907"/>
      <c r="D1" s="907"/>
      <c r="E1" s="907"/>
      <c r="F1" s="907"/>
      <c r="G1" s="907"/>
      <c r="H1" s="907"/>
      <c r="I1" s="907"/>
      <c r="J1" s="907"/>
    </row>
    <row r="2" spans="1:12" s="2" customFormat="1" ht="12.75" customHeight="1" x14ac:dyDescent="0.2">
      <c r="A2" s="908" t="s">
        <v>502</v>
      </c>
      <c r="B2" s="909"/>
      <c r="C2" s="909"/>
      <c r="D2" s="909"/>
      <c r="E2" s="909"/>
      <c r="F2" s="909"/>
      <c r="G2" s="909"/>
      <c r="H2" s="909"/>
      <c r="I2" s="909"/>
      <c r="J2" s="910"/>
    </row>
    <row r="3" spans="1:12" s="2" customFormat="1" ht="12.75" customHeight="1" x14ac:dyDescent="0.2">
      <c r="A3" s="911"/>
      <c r="B3" s="912"/>
      <c r="C3" s="912"/>
      <c r="D3" s="912"/>
      <c r="E3" s="912"/>
      <c r="F3" s="912"/>
      <c r="G3" s="912"/>
      <c r="H3" s="912"/>
      <c r="I3" s="912"/>
      <c r="J3" s="913"/>
    </row>
    <row r="4" spans="1:12" s="2" customFormat="1" ht="12.75" customHeight="1" x14ac:dyDescent="0.2">
      <c r="A4" s="911"/>
      <c r="B4" s="912"/>
      <c r="C4" s="912"/>
      <c r="D4" s="912"/>
      <c r="E4" s="912"/>
      <c r="F4" s="912"/>
      <c r="G4" s="912"/>
      <c r="H4" s="912"/>
      <c r="I4" s="912"/>
      <c r="J4" s="913"/>
    </row>
    <row r="5" spans="1:12" s="2" customFormat="1" ht="13.5" thickBot="1" x14ac:dyDescent="0.25">
      <c r="A5" s="914"/>
      <c r="B5" s="915"/>
      <c r="C5" s="915"/>
      <c r="D5" s="915"/>
      <c r="E5" s="915"/>
      <c r="F5" s="915"/>
      <c r="G5" s="915"/>
      <c r="H5" s="915"/>
      <c r="I5" s="915"/>
      <c r="J5" s="916"/>
    </row>
    <row r="6" spans="1:12" ht="24.75" customHeight="1" thickTop="1" x14ac:dyDescent="0.2">
      <c r="A6" s="917" t="s">
        <v>377</v>
      </c>
      <c r="B6" s="918"/>
      <c r="C6" s="918"/>
      <c r="D6" s="918"/>
      <c r="E6" s="918"/>
      <c r="F6" s="918"/>
      <c r="G6" s="918"/>
      <c r="H6" s="918"/>
      <c r="I6" s="918"/>
      <c r="J6" s="918"/>
      <c r="L6" s="2"/>
    </row>
    <row r="7" spans="1:12" ht="50.1" customHeight="1" thickBot="1" x14ac:dyDescent="0.25">
      <c r="A7" s="919" t="str">
        <f>IF(K118=86,"Validation Successful: You may now submit the application to OSSE.","Validation Failed: You are not ready to submit the application to OSSE.  See below for details.")</f>
        <v>Validation Successful: You may now submit the application to OSSE.</v>
      </c>
      <c r="B7" s="920"/>
      <c r="C7" s="920"/>
      <c r="D7" s="920"/>
      <c r="E7" s="920"/>
      <c r="F7" s="920"/>
      <c r="G7" s="920"/>
      <c r="H7" s="920"/>
      <c r="I7" s="920"/>
      <c r="J7" s="920"/>
    </row>
    <row r="8" spans="1:12" ht="24.75" customHeight="1" thickTop="1" x14ac:dyDescent="0.2">
      <c r="A8" s="917" t="s">
        <v>378</v>
      </c>
      <c r="B8" s="921"/>
      <c r="C8" s="921"/>
      <c r="D8" s="921"/>
      <c r="E8" s="921"/>
      <c r="F8" s="921"/>
      <c r="G8" s="921"/>
      <c r="H8" s="921"/>
      <c r="I8" s="921"/>
      <c r="J8" s="921"/>
    </row>
    <row r="9" spans="1:12" ht="15" customHeight="1" x14ac:dyDescent="0.2">
      <c r="A9" s="215" t="s">
        <v>379</v>
      </c>
      <c r="B9" s="216"/>
      <c r="C9" s="922"/>
      <c r="D9" s="926" t="s">
        <v>380</v>
      </c>
      <c r="E9" s="928" t="s">
        <v>381</v>
      </c>
      <c r="F9" s="216"/>
      <c r="G9" s="216"/>
      <c r="H9" s="216"/>
      <c r="I9" s="216"/>
      <c r="J9" s="922"/>
    </row>
    <row r="10" spans="1:12" ht="15" customHeight="1" thickBot="1" x14ac:dyDescent="0.25">
      <c r="A10" s="923"/>
      <c r="B10" s="924"/>
      <c r="C10" s="925"/>
      <c r="D10" s="927"/>
      <c r="E10" s="929"/>
      <c r="F10" s="924"/>
      <c r="G10" s="924"/>
      <c r="H10" s="924"/>
      <c r="I10" s="924"/>
      <c r="J10" s="925"/>
    </row>
    <row r="11" spans="1:12" ht="24.75" customHeight="1" thickTop="1" x14ac:dyDescent="0.2">
      <c r="A11" s="930" t="s">
        <v>382</v>
      </c>
      <c r="B11" s="931"/>
      <c r="C11" s="931"/>
      <c r="D11" s="931"/>
      <c r="E11" s="931"/>
      <c r="F11" s="931"/>
      <c r="G11" s="931"/>
      <c r="H11" s="931"/>
      <c r="I11" s="931"/>
      <c r="J11" s="931"/>
    </row>
    <row r="12" spans="1:12" ht="15" customHeight="1" x14ac:dyDescent="0.2">
      <c r="A12" s="900" t="s">
        <v>383</v>
      </c>
      <c r="B12" s="900"/>
      <c r="C12" s="900"/>
      <c r="D12" s="166" t="str">
        <f>IF(LEN('1'!A6)&gt;7,"Yes","No")</f>
        <v>Yes</v>
      </c>
      <c r="E12" s="901" t="str">
        <f>IF(D12="No","Input the full legal name of the local educational agency.","")</f>
        <v/>
      </c>
      <c r="F12" s="901"/>
      <c r="G12" s="901"/>
      <c r="H12" s="901"/>
      <c r="I12" s="901"/>
      <c r="J12" s="901"/>
      <c r="K12" s="165">
        <f>IF(D12="Yes",1,0)</f>
        <v>1</v>
      </c>
    </row>
    <row r="13" spans="1:12" ht="15" customHeight="1" x14ac:dyDescent="0.2">
      <c r="A13" s="902" t="s">
        <v>384</v>
      </c>
      <c r="B13" s="902"/>
      <c r="C13" s="902"/>
      <c r="D13" s="166" t="str">
        <f>IF(LEN('1'!A8)&gt;7,"Yes","No")</f>
        <v>Yes</v>
      </c>
      <c r="E13" s="901" t="str">
        <f>IF(D13="No","Input the mailing address of the local educational agency.","")</f>
        <v/>
      </c>
      <c r="F13" s="901"/>
      <c r="G13" s="901"/>
      <c r="H13" s="901"/>
      <c r="I13" s="901"/>
      <c r="J13" s="901"/>
      <c r="K13" s="165">
        <f t="shared" ref="K13:K48" si="0">IF(D13="Yes",1,0)</f>
        <v>1</v>
      </c>
    </row>
    <row r="14" spans="1:12" ht="15" customHeight="1" x14ac:dyDescent="0.2">
      <c r="A14" s="902" t="s">
        <v>385</v>
      </c>
      <c r="B14" s="902"/>
      <c r="C14" s="902"/>
      <c r="D14" s="166" t="str">
        <f>IF(LEN('1'!A10)&gt;6,"Yes","No")</f>
        <v>Yes</v>
      </c>
      <c r="E14" s="901" t="str">
        <f>IF(D14="No","Input the main telephone number of the local educational agency.","")</f>
        <v/>
      </c>
      <c r="F14" s="901"/>
      <c r="G14" s="901"/>
      <c r="H14" s="901"/>
      <c r="I14" s="901"/>
      <c r="J14" s="901"/>
      <c r="K14" s="165">
        <f t="shared" si="0"/>
        <v>1</v>
      </c>
    </row>
    <row r="15" spans="1:12" ht="15" customHeight="1" x14ac:dyDescent="0.2">
      <c r="A15" s="902" t="s">
        <v>386</v>
      </c>
      <c r="B15" s="902"/>
      <c r="C15" s="902"/>
      <c r="D15" s="166" t="str">
        <f>IF(LEN('1'!A12)&gt;5,"Yes","No")</f>
        <v>Yes</v>
      </c>
      <c r="E15" s="901" t="str">
        <f>IF(D15="No","Input the name of the primary contact at the LEA for Consolidated Application programs.","")</f>
        <v/>
      </c>
      <c r="F15" s="901"/>
      <c r="G15" s="901"/>
      <c r="H15" s="901"/>
      <c r="I15" s="901"/>
      <c r="J15" s="901"/>
      <c r="K15" s="165">
        <f t="shared" si="0"/>
        <v>1</v>
      </c>
    </row>
    <row r="16" spans="1:12" ht="15" customHeight="1" x14ac:dyDescent="0.2">
      <c r="A16" s="902" t="s">
        <v>387</v>
      </c>
      <c r="B16" s="902"/>
      <c r="C16" s="902"/>
      <c r="D16" s="166" t="str">
        <f>IF(LEN('1'!A14)&gt;5,"Yes","No")</f>
        <v>Yes</v>
      </c>
      <c r="E16" s="901" t="str">
        <f>IF(D16="No","Input the position title of the primary contact at the LEA for Consolidated Application programs.","")</f>
        <v/>
      </c>
      <c r="F16" s="901"/>
      <c r="G16" s="901"/>
      <c r="H16" s="901"/>
      <c r="I16" s="901"/>
      <c r="J16" s="901"/>
      <c r="K16" s="165">
        <f t="shared" si="0"/>
        <v>1</v>
      </c>
    </row>
    <row r="17" spans="1:11" ht="15" customHeight="1" x14ac:dyDescent="0.2">
      <c r="A17" s="902" t="s">
        <v>388</v>
      </c>
      <c r="B17" s="902"/>
      <c r="C17" s="902"/>
      <c r="D17" s="166" t="str">
        <f>IF(LEN('1'!A16)&gt;7,"Yes","No")</f>
        <v>Yes</v>
      </c>
      <c r="E17" s="901" t="str">
        <f>IF(D17="No","Input the email address of the primary contact at the LEA for Consolidated Application programs.","")</f>
        <v/>
      </c>
      <c r="F17" s="901"/>
      <c r="G17" s="901"/>
      <c r="H17" s="901"/>
      <c r="I17" s="901"/>
      <c r="J17" s="901"/>
      <c r="K17" s="165">
        <f t="shared" si="0"/>
        <v>1</v>
      </c>
    </row>
    <row r="18" spans="1:11" ht="15" customHeight="1" x14ac:dyDescent="0.2">
      <c r="A18" s="902" t="s">
        <v>389</v>
      </c>
      <c r="B18" s="902"/>
      <c r="C18" s="902"/>
      <c r="D18" s="166" t="str">
        <f>IF(LEN('1'!A18)&gt;6,"Yes","No")</f>
        <v>Yes</v>
      </c>
      <c r="E18" s="901" t="str">
        <f>IF(D18="No","Input the telephone number of the primary contact at the LEA for Consolidated Application programs.","")</f>
        <v/>
      </c>
      <c r="F18" s="901"/>
      <c r="G18" s="901"/>
      <c r="H18" s="901"/>
      <c r="I18" s="901"/>
      <c r="J18" s="901"/>
      <c r="K18" s="165">
        <f t="shared" si="0"/>
        <v>1</v>
      </c>
    </row>
    <row r="19" spans="1:11" ht="15" customHeight="1" x14ac:dyDescent="0.2">
      <c r="A19" s="902" t="s">
        <v>390</v>
      </c>
      <c r="B19" s="902"/>
      <c r="C19" s="902"/>
      <c r="D19" s="166" t="str">
        <f>IF(AND('1'!B38="",'1'!E38="",'1'!H38=""), "No", "Yes")</f>
        <v>Yes</v>
      </c>
      <c r="E19" s="901" t="str">
        <f>IF(D19="No","Select one of the three options (monthly, bi-monthly, or quarterly) for a reimbursement request submission schedule.","")</f>
        <v/>
      </c>
      <c r="F19" s="901"/>
      <c r="G19" s="901"/>
      <c r="H19" s="901"/>
      <c r="I19" s="901"/>
      <c r="J19" s="901"/>
      <c r="K19" s="165">
        <f t="shared" si="0"/>
        <v>1</v>
      </c>
    </row>
    <row r="20" spans="1:11" ht="24.75" customHeight="1" x14ac:dyDescent="0.2">
      <c r="A20" s="897" t="s">
        <v>571</v>
      </c>
      <c r="B20" s="898"/>
      <c r="C20" s="898"/>
      <c r="D20" s="898"/>
      <c r="E20" s="898"/>
      <c r="F20" s="898"/>
      <c r="G20" s="898"/>
      <c r="H20" s="898"/>
      <c r="I20" s="898"/>
      <c r="J20" s="899"/>
    </row>
    <row r="21" spans="1:11" ht="15" customHeight="1" x14ac:dyDescent="0.2">
      <c r="A21" s="900" t="s">
        <v>573</v>
      </c>
      <c r="B21" s="900"/>
      <c r="C21" s="900"/>
      <c r="D21" s="166" t="str">
        <f>IF('2a'!F7="", "No","Yes")</f>
        <v>Yes</v>
      </c>
      <c r="E21" s="901" t="str">
        <f>IF(D21="No","Select YES or NO to indicate whether the LEA has intervention status schools.","")</f>
        <v/>
      </c>
      <c r="F21" s="901"/>
      <c r="G21" s="901"/>
      <c r="H21" s="901"/>
      <c r="I21" s="901"/>
      <c r="J21" s="901"/>
      <c r="K21" s="165">
        <f t="shared" si="0"/>
        <v>1</v>
      </c>
    </row>
    <row r="22" spans="1:11" ht="15" customHeight="1" x14ac:dyDescent="0.2">
      <c r="A22" s="902" t="s">
        <v>574</v>
      </c>
      <c r="B22" s="902"/>
      <c r="C22" s="902"/>
      <c r="D22" s="166" t="str">
        <f>IF('2a'!F379='2a'!F8,"Yes","No")</f>
        <v>Yes</v>
      </c>
      <c r="E22" s="901" t="str">
        <f>IF(D22="No","Revise the data provided on Tab 2a to ensure that the amount set aside covers the total required amount of funds","")</f>
        <v/>
      </c>
      <c r="F22" s="901"/>
      <c r="G22" s="901"/>
      <c r="H22" s="901"/>
      <c r="I22" s="901"/>
      <c r="J22" s="901"/>
      <c r="K22" s="165">
        <f t="shared" ref="K22:K33" si="1">IF(D22="Yes",1,0)</f>
        <v>1</v>
      </c>
    </row>
    <row r="23" spans="1:11" ht="15" customHeight="1" x14ac:dyDescent="0.2">
      <c r="A23" s="902" t="s">
        <v>518</v>
      </c>
      <c r="B23" s="902"/>
      <c r="C23" s="902"/>
      <c r="D23" s="166" t="str">
        <f>IF(AND('2a'!F20&gt;0,LEN('2a'!A26)&lt;100),"No","Yes")</f>
        <v>Yes</v>
      </c>
      <c r="E23" s="901" t="str">
        <f>IF(D23="No","Summarize the planned use/s of funds required to be set-aside for school leadership interventions.","")</f>
        <v/>
      </c>
      <c r="F23" s="901"/>
      <c r="G23" s="901"/>
      <c r="H23" s="901"/>
      <c r="I23" s="901"/>
      <c r="J23" s="901"/>
      <c r="K23" s="165">
        <f t="shared" si="1"/>
        <v>1</v>
      </c>
    </row>
    <row r="24" spans="1:11" ht="15" customHeight="1" x14ac:dyDescent="0.2">
      <c r="A24" s="902" t="s">
        <v>521</v>
      </c>
      <c r="B24" s="902"/>
      <c r="C24" s="902"/>
      <c r="D24" s="166" t="str">
        <f>IF(AND('2a'!F53&gt;0,LEN('2a'!A59)&lt;100),"No","Yes")</f>
        <v>Yes</v>
      </c>
      <c r="E24" s="901" t="str">
        <f>IF(D24="No","Summarize the planned use/s of funds required to be set-aside for effective staffing practices interventions.","")</f>
        <v/>
      </c>
      <c r="F24" s="901"/>
      <c r="G24" s="901"/>
      <c r="H24" s="901"/>
      <c r="I24" s="901"/>
      <c r="J24" s="901"/>
      <c r="K24" s="165">
        <f t="shared" si="1"/>
        <v>1</v>
      </c>
    </row>
    <row r="25" spans="1:11" ht="15" customHeight="1" x14ac:dyDescent="0.2">
      <c r="A25" s="902" t="s">
        <v>525</v>
      </c>
      <c r="B25" s="902"/>
      <c r="C25" s="902"/>
      <c r="D25" s="166" t="str">
        <f>IF(AND('2a'!F88&gt;0,LEN('2a'!A92)&lt;100),"No","Yes")</f>
        <v>Yes</v>
      </c>
      <c r="E25" s="901" t="str">
        <f>IF(D25="No","Summarize the planned use/s of funds required to be set-aside for effective use of time interventions.","")</f>
        <v/>
      </c>
      <c r="F25" s="901"/>
      <c r="G25" s="901"/>
      <c r="H25" s="901"/>
      <c r="I25" s="901"/>
      <c r="J25" s="901"/>
      <c r="K25" s="165">
        <f t="shared" si="1"/>
        <v>1</v>
      </c>
    </row>
    <row r="26" spans="1:11" ht="15" customHeight="1" x14ac:dyDescent="0.2">
      <c r="A26" s="902" t="s">
        <v>526</v>
      </c>
      <c r="B26" s="902"/>
      <c r="C26" s="902"/>
      <c r="D26" s="166" t="str">
        <f>IF(AND('2a'!F121&gt;0,LEN('2a'!A125)&lt;100),"No","Yes")</f>
        <v>Yes</v>
      </c>
      <c r="E26" s="901" t="str">
        <f>IF(D26="No","Summarize the planned use/s of funds required to be set-aside for curriculum and assessment interventions.","")</f>
        <v/>
      </c>
      <c r="F26" s="901"/>
      <c r="G26" s="901"/>
      <c r="H26" s="901"/>
      <c r="I26" s="901"/>
      <c r="J26" s="901"/>
      <c r="K26" s="165">
        <f t="shared" si="1"/>
        <v>1</v>
      </c>
    </row>
    <row r="27" spans="1:11" ht="15" customHeight="1" x14ac:dyDescent="0.2">
      <c r="A27" s="902" t="s">
        <v>529</v>
      </c>
      <c r="B27" s="902"/>
      <c r="C27" s="902"/>
      <c r="D27" s="166" t="str">
        <f>IF(AND('2a'!F152&gt;0,LEN('2a'!A157)&lt;100),"No","Yes")</f>
        <v>Yes</v>
      </c>
      <c r="E27" s="901" t="str">
        <f>IF(D27="No","Summarize the planned use/s of funds required to be set-aside for effective uses of data interventions.","")</f>
        <v/>
      </c>
      <c r="F27" s="901"/>
      <c r="G27" s="901"/>
      <c r="H27" s="901"/>
      <c r="I27" s="901"/>
      <c r="J27" s="901"/>
      <c r="K27" s="165">
        <f t="shared" si="1"/>
        <v>1</v>
      </c>
    </row>
    <row r="28" spans="1:11" ht="15" customHeight="1" x14ac:dyDescent="0.2">
      <c r="A28" s="902" t="s">
        <v>532</v>
      </c>
      <c r="B28" s="902"/>
      <c r="C28" s="902"/>
      <c r="D28" s="166" t="str">
        <f>IF(AND('2a'!F184&gt;0,LEN('2a'!A189)&lt;100),"No","Yes")</f>
        <v>Yes</v>
      </c>
      <c r="E28" s="901" t="str">
        <f>IF(D28="No","Summarize the planned use/s of funds required to be set-aside for school climate and culture interventions.","")</f>
        <v/>
      </c>
      <c r="F28" s="901"/>
      <c r="G28" s="901"/>
      <c r="H28" s="901"/>
      <c r="I28" s="901"/>
      <c r="J28" s="901"/>
      <c r="K28" s="165">
        <f t="shared" si="1"/>
        <v>1</v>
      </c>
    </row>
    <row r="29" spans="1:11" ht="15" customHeight="1" x14ac:dyDescent="0.2">
      <c r="A29" s="902" t="s">
        <v>534</v>
      </c>
      <c r="B29" s="902"/>
      <c r="C29" s="902"/>
      <c r="D29" s="166" t="str">
        <f>IF(AND('2a'!F216&gt;0,LEN('2a'!A221)&lt;100),"No","Yes")</f>
        <v>Yes</v>
      </c>
      <c r="E29" s="901" t="str">
        <f>IF(D29="No","Summarize the planned use/s of funds required to be set-aside for family and community engagement.","")</f>
        <v/>
      </c>
      <c r="F29" s="901"/>
      <c r="G29" s="901"/>
      <c r="H29" s="901"/>
      <c r="I29" s="901"/>
      <c r="J29" s="901"/>
      <c r="K29" s="165">
        <f t="shared" si="1"/>
        <v>1</v>
      </c>
    </row>
    <row r="30" spans="1:11" ht="15" customHeight="1" x14ac:dyDescent="0.2">
      <c r="A30" s="902" t="s">
        <v>575</v>
      </c>
      <c r="B30" s="902"/>
      <c r="C30" s="902"/>
      <c r="D30" s="166" t="str">
        <f>IF(AND('2a'!F253&gt;0,LEN('2a'!A259)&lt;100),"No","Yes")</f>
        <v>Yes</v>
      </c>
      <c r="E30" s="901" t="str">
        <f>IF(D30="No","Summarize the planned use/s of funds required to be set-aside for meeting the needs of the disabled students.","")</f>
        <v/>
      </c>
      <c r="F30" s="901"/>
      <c r="G30" s="901"/>
      <c r="H30" s="901"/>
      <c r="I30" s="901"/>
      <c r="J30" s="901"/>
      <c r="K30" s="165">
        <f t="shared" si="1"/>
        <v>1</v>
      </c>
    </row>
    <row r="31" spans="1:11" ht="15" customHeight="1" x14ac:dyDescent="0.2">
      <c r="A31" s="902" t="s">
        <v>576</v>
      </c>
      <c r="B31" s="902"/>
      <c r="C31" s="902"/>
      <c r="D31" s="166" t="str">
        <f>IF(AND('2a'!F286&gt;0,LEN('2a'!A292)&lt;100),"No","Yes")</f>
        <v>Yes</v>
      </c>
      <c r="E31" s="901" t="str">
        <f>IF(D31="No","Summarize the planned use/s of funds required to be set-aside for meeting the needs of ELLs.","")</f>
        <v/>
      </c>
      <c r="F31" s="901"/>
      <c r="G31" s="901"/>
      <c r="H31" s="901"/>
      <c r="I31" s="901"/>
      <c r="J31" s="901"/>
      <c r="K31" s="165">
        <f t="shared" si="1"/>
        <v>1</v>
      </c>
    </row>
    <row r="32" spans="1:11" ht="15" customHeight="1" x14ac:dyDescent="0.2">
      <c r="A32" s="902" t="s">
        <v>577</v>
      </c>
      <c r="B32" s="902"/>
      <c r="C32" s="902"/>
      <c r="D32" s="166" t="str">
        <f>IF(AND('2a'!F321&gt;0,LEN('2a'!A325)&lt;100),"No","Yes")</f>
        <v>Yes</v>
      </c>
      <c r="E32" s="901" t="str">
        <f>IF(D32="No","Summarize the planned use/s of funds required to be set-aside for meeting the needs of other subgroups.","")</f>
        <v/>
      </c>
      <c r="F32" s="901"/>
      <c r="G32" s="901"/>
      <c r="H32" s="901"/>
      <c r="I32" s="901"/>
      <c r="J32" s="901"/>
      <c r="K32" s="165">
        <f t="shared" si="1"/>
        <v>1</v>
      </c>
    </row>
    <row r="33" spans="1:11" ht="15" customHeight="1" x14ac:dyDescent="0.2">
      <c r="A33" s="902" t="s">
        <v>578</v>
      </c>
      <c r="B33" s="902"/>
      <c r="C33" s="902"/>
      <c r="D33" s="166" t="str">
        <f>IF(AND('2a'!F352&gt;0,LEN('2a'!A358)&lt;100),"No","Yes")</f>
        <v>Yes</v>
      </c>
      <c r="E33" s="901" t="str">
        <f>IF(D33="No","Summarize the planned use/s of funds required to be set-aside for schools not meeting AMOs.","")</f>
        <v/>
      </c>
      <c r="F33" s="901"/>
      <c r="G33" s="901"/>
      <c r="H33" s="901"/>
      <c r="I33" s="901"/>
      <c r="J33" s="901"/>
      <c r="K33" s="165">
        <f t="shared" si="1"/>
        <v>1</v>
      </c>
    </row>
    <row r="34" spans="1:11" ht="24.75" customHeight="1" x14ac:dyDescent="0.2">
      <c r="A34" s="897" t="s">
        <v>572</v>
      </c>
      <c r="B34" s="898"/>
      <c r="C34" s="898"/>
      <c r="D34" s="898"/>
      <c r="E34" s="898"/>
      <c r="F34" s="898"/>
      <c r="G34" s="898"/>
      <c r="H34" s="898"/>
      <c r="I34" s="898"/>
      <c r="J34" s="899"/>
    </row>
    <row r="35" spans="1:11" ht="15" customHeight="1" x14ac:dyDescent="0.2">
      <c r="A35" s="900" t="s">
        <v>499</v>
      </c>
      <c r="B35" s="900"/>
      <c r="C35" s="900"/>
      <c r="D35" s="166" t="str">
        <f>IF(AND('2b'!F13&gt;0,LEN('2b'!A19)&lt;20),"No","Yes")</f>
        <v>Yes</v>
      </c>
      <c r="E35" s="901" t="str">
        <f>IF(D35="No","Summarize the planned use/s of funds required to be set-aside for parental involvement activities.","")</f>
        <v/>
      </c>
      <c r="F35" s="901"/>
      <c r="G35" s="901"/>
      <c r="H35" s="901"/>
      <c r="I35" s="901"/>
      <c r="J35" s="901"/>
      <c r="K35" s="165">
        <f t="shared" ref="K35" si="2">IF(D35="Yes",1,0)</f>
        <v>1</v>
      </c>
    </row>
    <row r="36" spans="1:11" ht="15" customHeight="1" x14ac:dyDescent="0.2">
      <c r="A36" s="902" t="s">
        <v>155</v>
      </c>
      <c r="B36" s="902"/>
      <c r="C36" s="902"/>
      <c r="D36" s="166" t="str">
        <f>IF(AND('2b'!F175&gt;0,LEN('2b'!A180)&lt;20),"No","Yes")</f>
        <v>Yes</v>
      </c>
      <c r="E36" s="901" t="str">
        <f>IF(D36="No","Summarize the planned use/s of funds to be set-aside for administrative activities.","")</f>
        <v/>
      </c>
      <c r="F36" s="901"/>
      <c r="G36" s="901"/>
      <c r="H36" s="901"/>
      <c r="I36" s="901"/>
      <c r="J36" s="901"/>
      <c r="K36" s="165">
        <f>IF(D36="Yes",1,0)</f>
        <v>1</v>
      </c>
    </row>
    <row r="37" spans="1:11" ht="15" customHeight="1" x14ac:dyDescent="0.2">
      <c r="A37" s="902" t="s">
        <v>156</v>
      </c>
      <c r="B37" s="902"/>
      <c r="C37" s="902"/>
      <c r="D37" s="166" t="str">
        <f>IF(AND('2b'!F216&gt;0,LEN('2b'!A221)&lt;10),"No","Yes")</f>
        <v>Yes</v>
      </c>
      <c r="E37" s="901" t="str">
        <f>IF(D37="No","Summarize the planned use/s of funds to be set-aside for financial incentives and rewards.","")</f>
        <v/>
      </c>
      <c r="F37" s="901"/>
      <c r="G37" s="901"/>
      <c r="H37" s="901"/>
      <c r="I37" s="901"/>
      <c r="J37" s="901"/>
      <c r="K37" s="165">
        <f>IF(D37="Yes",1,0)</f>
        <v>1</v>
      </c>
    </row>
    <row r="38" spans="1:11" ht="15" customHeight="1" x14ac:dyDescent="0.2">
      <c r="A38" s="902" t="s">
        <v>158</v>
      </c>
      <c r="B38" s="902"/>
      <c r="C38" s="902"/>
      <c r="D38" s="166" t="str">
        <f>IF(AND('2b'!F258&gt;0,LEN('2b'!A278)&lt;20),"No","Yes")</f>
        <v>Yes</v>
      </c>
      <c r="E38" s="901" t="str">
        <f>IF(D38="No","Summarize the planned use/s of funds to be set-aside for additional off the top reservation.","")</f>
        <v/>
      </c>
      <c r="F38" s="901"/>
      <c r="G38" s="901"/>
      <c r="H38" s="901"/>
      <c r="I38" s="901"/>
      <c r="J38" s="901"/>
      <c r="K38" s="165">
        <f>IF(D38="Yes",1,0)</f>
        <v>1</v>
      </c>
    </row>
    <row r="39" spans="1:11" ht="24.75" customHeight="1" x14ac:dyDescent="0.2">
      <c r="A39" s="897" t="s">
        <v>391</v>
      </c>
      <c r="B39" s="898"/>
      <c r="C39" s="898"/>
      <c r="D39" s="898"/>
      <c r="E39" s="898"/>
      <c r="F39" s="898"/>
      <c r="G39" s="898"/>
      <c r="H39" s="898"/>
      <c r="I39" s="898"/>
      <c r="J39" s="899"/>
    </row>
    <row r="40" spans="1:11" ht="15" customHeight="1" x14ac:dyDescent="0.2">
      <c r="A40" s="900" t="s">
        <v>482</v>
      </c>
      <c r="B40" s="900"/>
      <c r="C40" s="900"/>
      <c r="D40" s="166" t="str">
        <f>IF('3'!F15="", "No","Yes")</f>
        <v>Yes</v>
      </c>
      <c r="E40" s="901" t="str">
        <f>IF(D40="No","Select YES or NO to indicate whether any funds will be consolidated.","")</f>
        <v/>
      </c>
      <c r="F40" s="901"/>
      <c r="G40" s="901"/>
      <c r="H40" s="901"/>
      <c r="I40" s="901"/>
      <c r="J40" s="901"/>
      <c r="K40" s="165">
        <f t="shared" si="0"/>
        <v>1</v>
      </c>
    </row>
    <row r="41" spans="1:11" ht="15" customHeight="1" x14ac:dyDescent="0.2">
      <c r="A41" s="902" t="s">
        <v>483</v>
      </c>
      <c r="B41" s="902"/>
      <c r="C41" s="902"/>
      <c r="D41" s="166" t="str">
        <f>IF('3'!F18&gt;'3'!F17,"No","Yes")</f>
        <v>Yes</v>
      </c>
      <c r="E41" s="901" t="str">
        <f>IF(D41="No","Decrease the amount of Title I, Part A funds being consolidated to no more than the maximum available for consolidation.","")</f>
        <v/>
      </c>
      <c r="F41" s="901"/>
      <c r="G41" s="901"/>
      <c r="H41" s="901"/>
      <c r="I41" s="901"/>
      <c r="J41" s="901"/>
      <c r="K41" s="165">
        <f t="shared" si="0"/>
        <v>1</v>
      </c>
    </row>
    <row r="42" spans="1:11" ht="15" customHeight="1" x14ac:dyDescent="0.2">
      <c r="A42" s="902" t="s">
        <v>484</v>
      </c>
      <c r="B42" s="902"/>
      <c r="C42" s="902"/>
      <c r="D42" s="166" t="str">
        <f>IF('3'!F19&gt;'1'!E28,"No","Yes")</f>
        <v>Yes</v>
      </c>
      <c r="E42" s="901" t="str">
        <f>IF(D42="No","Decrease the amount of Title II, Part A funds being consolidated to no more than the total Title II, Part A allocation.","")</f>
        <v/>
      </c>
      <c r="F42" s="901"/>
      <c r="G42" s="901"/>
      <c r="H42" s="901"/>
      <c r="I42" s="901"/>
      <c r="J42" s="901"/>
      <c r="K42" s="165">
        <f t="shared" si="0"/>
        <v>1</v>
      </c>
    </row>
    <row r="43" spans="1:11" ht="15" customHeight="1" x14ac:dyDescent="0.2">
      <c r="A43" s="902" t="s">
        <v>485</v>
      </c>
      <c r="B43" s="902"/>
      <c r="C43" s="902"/>
      <c r="D43" s="166" t="str">
        <f>IF('3'!F20&gt;'1'!H28,"No","Yes")</f>
        <v>Yes</v>
      </c>
      <c r="E43" s="901" t="str">
        <f>IF(D43="No","Decrease the amount of Title III, Part A funds being consolidated to no more than the total Title III, Part A allocation.","")</f>
        <v/>
      </c>
      <c r="F43" s="901"/>
      <c r="G43" s="901"/>
      <c r="H43" s="901"/>
      <c r="I43" s="901"/>
      <c r="J43" s="901"/>
      <c r="K43" s="165">
        <f t="shared" si="0"/>
        <v>1</v>
      </c>
    </row>
    <row r="44" spans="1:11" ht="24.75" customHeight="1" x14ac:dyDescent="0.2">
      <c r="A44" s="897" t="s">
        <v>392</v>
      </c>
      <c r="B44" s="898"/>
      <c r="C44" s="898"/>
      <c r="D44" s="898"/>
      <c r="E44" s="898"/>
      <c r="F44" s="898"/>
      <c r="G44" s="898"/>
      <c r="H44" s="898"/>
      <c r="I44" s="898"/>
      <c r="J44" s="899"/>
    </row>
    <row r="45" spans="1:11" ht="15" customHeight="1" x14ac:dyDescent="0.2">
      <c r="A45" s="900" t="s">
        <v>495</v>
      </c>
      <c r="B45" s="900"/>
      <c r="C45" s="900"/>
      <c r="D45" s="166" t="str">
        <f>IF(AND('1'!B28&gt;0,OR('4'!B20="",'4'!I23="",'4'!I26="",AND('4'!B34="",'4'!B37="",'4'!B39="",'4'!B41="",'4'!B43="",'4'!B45="",'4'!B47="",'4'!B49="",'4'!B54="",'4'!B56="",'4'!B58="",'4'!B60="",'4'!B62="",'4'!B64="",'4'!B32=""))),"No","Yes")</f>
        <v>Yes</v>
      </c>
      <c r="E45" s="901" t="str">
        <f>IF(D45="No","Complete the Needs Assessment section of the worksheet.","")</f>
        <v/>
      </c>
      <c r="F45" s="901"/>
      <c r="G45" s="901"/>
      <c r="H45" s="901"/>
      <c r="I45" s="901"/>
      <c r="J45" s="901"/>
      <c r="K45" s="165">
        <f t="shared" si="0"/>
        <v>1</v>
      </c>
    </row>
    <row r="46" spans="1:11" ht="15" customHeight="1" x14ac:dyDescent="0.2">
      <c r="A46" s="900" t="s">
        <v>496</v>
      </c>
      <c r="B46" s="900"/>
      <c r="C46" s="900"/>
      <c r="D46" s="166" t="str">
        <f>IF(AND('1'!B28&gt;0,'4'!B74="",'4'!B143=""),"No","Yes")</f>
        <v>Yes</v>
      </c>
      <c r="E46" s="901" t="str">
        <f>IF(D46="No","Indicate whether the LEA has schools operating schoolwide programs, targeted assistance schools, or (for DCPS) both.","")</f>
        <v/>
      </c>
      <c r="F46" s="901"/>
      <c r="G46" s="901"/>
      <c r="H46" s="901"/>
      <c r="I46" s="901"/>
      <c r="J46" s="901"/>
      <c r="K46" s="165">
        <f t="shared" si="0"/>
        <v>1</v>
      </c>
    </row>
    <row r="47" spans="1:11" ht="15" customHeight="1" x14ac:dyDescent="0.2">
      <c r="A47" s="900" t="s">
        <v>498</v>
      </c>
      <c r="B47" s="900"/>
      <c r="C47" s="900"/>
      <c r="D47" s="166" t="str">
        <f>IF(AND('4'!B143="X",OR(LEN('4'!A177)&lt;20,AND('4'!A171="",'4'!C171="",'4'!E171="",'4'!G171="",'4'!I171="",'4'!A172="",'4'!C172="",'4'!E172="",'4'!G172="",'4'!I172=""),AND('4'!B153="",'4'!B155="",'4'!B157="",'4'!B159="",'4'!B161="",'4'!B163=""))),"No","Yes")</f>
        <v>Yes</v>
      </c>
      <c r="E47" s="901" t="str">
        <f>IF(D47="No","Complete all sections related to targeted assistance design.","")</f>
        <v/>
      </c>
      <c r="F47" s="901"/>
      <c r="G47" s="901"/>
      <c r="H47" s="901"/>
      <c r="I47" s="901"/>
      <c r="J47" s="901"/>
      <c r="K47" s="165">
        <f t="shared" si="0"/>
        <v>1</v>
      </c>
    </row>
    <row r="48" spans="1:11" ht="15" customHeight="1" x14ac:dyDescent="0.2">
      <c r="A48" s="900" t="s">
        <v>497</v>
      </c>
      <c r="B48" s="900"/>
      <c r="C48" s="900"/>
      <c r="D48" s="166" t="str">
        <f>IF(AND('4'!B74="X",OR('4'!B85="",AND('4'!B91="",'4'!B94="",'4'!B97="",'4'!B100="",'4'!B103="",'4'!B106=""))),"No","Yes")</f>
        <v>Yes</v>
      </c>
      <c r="E48" s="901" t="str">
        <f>IF(D48="No","Complete all sections related to schoolwide program design.","")</f>
        <v/>
      </c>
      <c r="F48" s="901"/>
      <c r="G48" s="901"/>
      <c r="H48" s="901"/>
      <c r="I48" s="901"/>
      <c r="J48" s="901"/>
      <c r="K48" s="165">
        <f t="shared" si="0"/>
        <v>1</v>
      </c>
    </row>
    <row r="49" spans="1:11" ht="15" customHeight="1" x14ac:dyDescent="0.2">
      <c r="A49" s="900" t="s">
        <v>499</v>
      </c>
      <c r="B49" s="900"/>
      <c r="C49" s="900"/>
      <c r="D49" s="166" t="str">
        <f>IF(AND('1'!B28&gt;0,OR('4'!A243="",'4'!A252="",'4'!A260="",'4'!A269="",'4'!A279="",'4'!A288="",'4'!B221="",'4'!B223="")),"No","Yes")</f>
        <v>Yes</v>
      </c>
      <c r="E49" s="901" t="str">
        <f>IF(D49="No","Complete all sections related to requirements for parental involvement activities.","")</f>
        <v/>
      </c>
      <c r="F49" s="901"/>
      <c r="G49" s="901"/>
      <c r="H49" s="901"/>
      <c r="I49" s="901"/>
      <c r="J49" s="901"/>
      <c r="K49" s="165">
        <f>IF(D49="Yes",1,0)</f>
        <v>1</v>
      </c>
    </row>
    <row r="50" spans="1:11" ht="15" customHeight="1" x14ac:dyDescent="0.2">
      <c r="A50" s="900" t="s">
        <v>500</v>
      </c>
      <c r="B50" s="900"/>
      <c r="C50" s="900"/>
      <c r="D50" s="166" t="str">
        <f>IF(AND('1'!B28&gt;0,OR('4'!B301="",'4'!B311="")),"No","Yes")</f>
        <v>Yes</v>
      </c>
      <c r="E50" s="901" t="str">
        <f>IF(D50="No","Check all assurances related to requirements for highly qualified teachers and paraprofessionals.","")</f>
        <v/>
      </c>
      <c r="F50" s="901"/>
      <c r="G50" s="901"/>
      <c r="H50" s="901"/>
      <c r="I50" s="901"/>
      <c r="J50" s="901"/>
      <c r="K50" s="165">
        <f>IF(D50="Yes",1,0)</f>
        <v>1</v>
      </c>
    </row>
    <row r="51" spans="1:11" ht="24.75" customHeight="1" x14ac:dyDescent="0.2">
      <c r="A51" s="897" t="s">
        <v>453</v>
      </c>
      <c r="B51" s="898"/>
      <c r="C51" s="898"/>
      <c r="D51" s="898"/>
      <c r="E51" s="898"/>
      <c r="F51" s="898"/>
      <c r="G51" s="898"/>
      <c r="H51" s="898"/>
      <c r="I51" s="898"/>
      <c r="J51" s="899"/>
    </row>
    <row r="52" spans="1:11" ht="15" customHeight="1" x14ac:dyDescent="0.2">
      <c r="A52" s="900" t="s">
        <v>491</v>
      </c>
      <c r="B52" s="900"/>
      <c r="C52" s="900"/>
      <c r="D52" s="166" t="str">
        <f>IF(OR(LEN('5'!F21)&gt;LEN('5'!A26),LEN('5'!F45)&gt;LEN('5'!A50),LEN('5'!F87)&gt;LEN('5'!A92),LEN('5'!F129)&gt;LEN('5'!A134),LEN('5'!F171)&gt;LEN('5'!A176),LEN('5'!F213)&gt;LEN('5'!A218),LEN('5'!F255)&gt;LEN('5'!A260),LEN('5'!F297)&gt;LEN('5'!A302), LEN('5'!F339)&gt;LEN('5'!A344),LEN('5'!F381)&gt;LEN('5'!A386)),"No","Yes")</f>
        <v>Yes</v>
      </c>
      <c r="E52" s="901" t="str">
        <f>IF(D52="No","For each initiative/strategy for which any Consolidated SWP Funds will be budgeted, provide a summary of the planned activities.","")</f>
        <v/>
      </c>
      <c r="F52" s="901"/>
      <c r="G52" s="901"/>
      <c r="H52" s="901"/>
      <c r="I52" s="901"/>
      <c r="J52" s="901"/>
      <c r="K52" s="165">
        <f>IF(D52="Yes",1,0)</f>
        <v>1</v>
      </c>
    </row>
    <row r="53" spans="1:11" ht="15" customHeight="1" x14ac:dyDescent="0.2">
      <c r="A53" s="900" t="s">
        <v>489</v>
      </c>
      <c r="B53" s="900"/>
      <c r="C53" s="900"/>
      <c r="D53" s="166" t="str">
        <f>IF(AND('3'!F22&gt;0,SUM('5'!F21,'5'!F45,'5'!F87,'5'!F129,'5'!F171,'5'!F213,'5'!F255,'5'!F297,'5'!F339,'5'!F381)&lt;0.95),"No","Yes")</f>
        <v>Yes</v>
      </c>
      <c r="E53" s="901" t="str">
        <f>IF(D53="No","Include summaries for Consolidated Schoolwide Program Fund initiatives that cover 100 percent of consolidated funds.","")</f>
        <v/>
      </c>
      <c r="F53" s="901"/>
      <c r="G53" s="901"/>
      <c r="H53" s="901"/>
      <c r="I53" s="901"/>
      <c r="J53" s="901"/>
      <c r="K53" s="165">
        <f>IF(D53="Yes",1,0)</f>
        <v>1</v>
      </c>
    </row>
    <row r="54" spans="1:11" ht="24.75" customHeight="1" x14ac:dyDescent="0.2">
      <c r="A54" s="897" t="s">
        <v>454</v>
      </c>
      <c r="B54" s="898"/>
      <c r="C54" s="898"/>
      <c r="D54" s="898"/>
      <c r="E54" s="898"/>
      <c r="F54" s="898"/>
      <c r="G54" s="898"/>
      <c r="H54" s="898"/>
      <c r="I54" s="898"/>
      <c r="J54" s="899"/>
    </row>
    <row r="55" spans="1:11" ht="15" customHeight="1" x14ac:dyDescent="0.2">
      <c r="A55" s="900" t="s">
        <v>57</v>
      </c>
      <c r="B55" s="900"/>
      <c r="C55" s="900"/>
      <c r="D55" s="166" t="str">
        <f>IF('6'!L71=60,"Yes","No")</f>
        <v>Yes</v>
      </c>
      <c r="E55" s="901" t="str">
        <f>IF(D55="No","Check that all columns in Category 1 are complete if any funds are being used for salaries and benefits.","")</f>
        <v/>
      </c>
      <c r="F55" s="901"/>
      <c r="G55" s="901"/>
      <c r="H55" s="901"/>
      <c r="I55" s="901"/>
      <c r="J55" s="901"/>
      <c r="K55" s="165">
        <f t="shared" ref="K55:K60" si="3">IF(D55="Yes",1,0)</f>
        <v>1</v>
      </c>
    </row>
    <row r="56" spans="1:11" ht="15" customHeight="1" x14ac:dyDescent="0.2">
      <c r="A56" s="900" t="s">
        <v>58</v>
      </c>
      <c r="B56" s="900"/>
      <c r="C56" s="900"/>
      <c r="D56" s="166" t="str">
        <f>IF('6'!L106=25,"Yes","No")</f>
        <v>Yes</v>
      </c>
      <c r="E56" s="901" t="str">
        <f>IF(D56="No","Check that all columns in Category 2 are complete if any funds are being used for supplies and materials.","")</f>
        <v/>
      </c>
      <c r="F56" s="901"/>
      <c r="G56" s="901"/>
      <c r="H56" s="901"/>
      <c r="I56" s="901"/>
      <c r="J56" s="901"/>
      <c r="K56" s="165">
        <f t="shared" si="3"/>
        <v>1</v>
      </c>
    </row>
    <row r="57" spans="1:11" ht="15" customHeight="1" x14ac:dyDescent="0.2">
      <c r="A57" s="900" t="s">
        <v>136</v>
      </c>
      <c r="B57" s="900"/>
      <c r="C57" s="900"/>
      <c r="D57" s="166" t="str">
        <f>IF('6'!L141=25,"Yes","No")</f>
        <v>Yes</v>
      </c>
      <c r="E57" s="901" t="str">
        <f>IF(D57="No","Check that all columns in Category 3 are complete if any funds are being used for fixed property costs.","")</f>
        <v/>
      </c>
      <c r="F57" s="901"/>
      <c r="G57" s="901"/>
      <c r="H57" s="901"/>
      <c r="I57" s="901"/>
      <c r="J57" s="901"/>
      <c r="K57" s="165">
        <f t="shared" si="3"/>
        <v>1</v>
      </c>
    </row>
    <row r="58" spans="1:11" ht="15" customHeight="1" x14ac:dyDescent="0.2">
      <c r="A58" s="900" t="s">
        <v>138</v>
      </c>
      <c r="B58" s="900"/>
      <c r="C58" s="900"/>
      <c r="D58" s="166" t="str">
        <f>IF('6'!L176=25,"Yes","No")</f>
        <v>Yes</v>
      </c>
      <c r="E58" s="901" t="str">
        <f>IF(D58="No","Check that all columns in Category 4 are complete if any funds are being used for contractual services.","")</f>
        <v/>
      </c>
      <c r="F58" s="901"/>
      <c r="G58" s="901"/>
      <c r="H58" s="901"/>
      <c r="I58" s="901"/>
      <c r="J58" s="901"/>
      <c r="K58" s="165">
        <f t="shared" si="3"/>
        <v>1</v>
      </c>
    </row>
    <row r="59" spans="1:11" ht="15" customHeight="1" x14ac:dyDescent="0.2">
      <c r="A59" s="900" t="s">
        <v>61</v>
      </c>
      <c r="B59" s="900"/>
      <c r="C59" s="900"/>
      <c r="D59" s="166" t="str">
        <f>IF('6'!L211=25,"Yes","No")</f>
        <v>Yes</v>
      </c>
      <c r="E59" s="901" t="str">
        <f>IF(D59="No","Check that all columns in Category 5 are complete if any funds are being used for equipment.","")</f>
        <v/>
      </c>
      <c r="F59" s="901"/>
      <c r="G59" s="901"/>
      <c r="H59" s="901"/>
      <c r="I59" s="901"/>
      <c r="J59" s="901"/>
      <c r="K59" s="165">
        <f t="shared" si="3"/>
        <v>1</v>
      </c>
    </row>
    <row r="60" spans="1:11" ht="15" customHeight="1" x14ac:dyDescent="0.2">
      <c r="A60" s="900" t="s">
        <v>52</v>
      </c>
      <c r="B60" s="900"/>
      <c r="C60" s="900"/>
      <c r="D60" s="166" t="str">
        <f>IF('6'!L246=25,"Yes","No")</f>
        <v>Yes</v>
      </c>
      <c r="E60" s="901" t="str">
        <f>IF(D60="No","Check that all columns in Category 6 are complete if any funds are being used for other costs.","")</f>
        <v/>
      </c>
      <c r="F60" s="901"/>
      <c r="G60" s="901"/>
      <c r="H60" s="901"/>
      <c r="I60" s="901"/>
      <c r="J60" s="901"/>
      <c r="K60" s="165">
        <f t="shared" si="3"/>
        <v>1</v>
      </c>
    </row>
    <row r="61" spans="1:11" ht="24.75" customHeight="1" x14ac:dyDescent="0.2">
      <c r="A61" s="897" t="s">
        <v>455</v>
      </c>
      <c r="B61" s="898"/>
      <c r="C61" s="898"/>
      <c r="D61" s="898"/>
      <c r="E61" s="898"/>
      <c r="F61" s="898"/>
      <c r="G61" s="898"/>
      <c r="H61" s="898"/>
      <c r="I61" s="898"/>
      <c r="J61" s="899"/>
    </row>
    <row r="62" spans="1:11" ht="15" customHeight="1" x14ac:dyDescent="0.2">
      <c r="A62" s="900" t="s">
        <v>475</v>
      </c>
      <c r="B62" s="900"/>
      <c r="C62" s="900"/>
      <c r="D62" s="166" t="str">
        <f>IF('7'!K1="Your budget is now complete.","Yes","No")</f>
        <v>Yes</v>
      </c>
      <c r="E62" s="901" t="str">
        <f>IF(D62="No","Revise the data provided on Tab 6 to ensure that the budget covers the total amount of funds that are being consolidated.","")</f>
        <v/>
      </c>
      <c r="F62" s="901"/>
      <c r="G62" s="901"/>
      <c r="H62" s="901"/>
      <c r="I62" s="901"/>
      <c r="J62" s="901"/>
      <c r="K62" s="165">
        <f>IF(D62="Yes",1,0)</f>
        <v>1</v>
      </c>
    </row>
    <row r="63" spans="1:11" ht="24.75" customHeight="1" x14ac:dyDescent="0.2">
      <c r="A63" s="897" t="s">
        <v>456</v>
      </c>
      <c r="B63" s="898"/>
      <c r="C63" s="898"/>
      <c r="D63" s="898"/>
      <c r="E63" s="898"/>
      <c r="F63" s="898"/>
      <c r="G63" s="898"/>
      <c r="H63" s="898"/>
      <c r="I63" s="898"/>
      <c r="J63" s="899"/>
    </row>
    <row r="64" spans="1:11" ht="15" customHeight="1" x14ac:dyDescent="0.2">
      <c r="A64" s="900" t="s">
        <v>491</v>
      </c>
      <c r="B64" s="900"/>
      <c r="C64" s="900"/>
      <c r="D64" s="166" t="str">
        <f>IF(OR(LEN('8'!F22)&gt;LEN('8'!A27),LEN('8'!F45)&gt;LEN('8'!A50),LEN('8'!F87)&gt;LEN('8'!A92),LEN('8'!F129)&gt;LEN('8'!A134),LEN('8'!F171)&gt;LEN('8'!A176),LEN('8'!F213)&gt;LEN('8'!A218),LEN('8'!F255)&gt;LEN('8'!A260),LEN('8'!F297)&gt;LEN('8'!A302), LEN('8'!F339)&gt;LEN('8'!A344),LEN('8'!F381)&gt;LEN('8'!A386)),"No","Yes")</f>
        <v>Yes</v>
      </c>
      <c r="E64" s="901" t="str">
        <f>IF(D64="No","For each initiative for which Title I (unconsolidated, non set-aside) funds will be budgeted, provide a summary of the planned activities.","")</f>
        <v/>
      </c>
      <c r="F64" s="901"/>
      <c r="G64" s="901"/>
      <c r="H64" s="901"/>
      <c r="I64" s="901"/>
      <c r="J64" s="901"/>
      <c r="K64" s="165">
        <f>IF(D64="Yes",1,0)</f>
        <v>1</v>
      </c>
    </row>
    <row r="65" spans="1:11" ht="15" customHeight="1" x14ac:dyDescent="0.2">
      <c r="A65" s="900" t="s">
        <v>489</v>
      </c>
      <c r="B65" s="900"/>
      <c r="C65" s="900"/>
      <c r="D65" s="166" t="str">
        <f>IF(AND(('3'!F18&lt;'3'!F17),SUM('8'!F22,'8'!F45,'8'!F87,'8'!F129,'8'!F171,'8'!F213,'8'!F255,'8'!F297,'8'!F339,'8'!F381)&lt;0.95),"No","Yes")</f>
        <v>Yes</v>
      </c>
      <c r="E65" s="901" t="str">
        <f>IF(D65="No","Include summaries for Title I, Part A initiatives that cover 100 percent of Title I (unconsolidated, non set-aside) funds.","")</f>
        <v/>
      </c>
      <c r="F65" s="901"/>
      <c r="G65" s="901"/>
      <c r="H65" s="901"/>
      <c r="I65" s="901"/>
      <c r="J65" s="901"/>
      <c r="K65" s="165">
        <f>IF(D65="Yes",1,0)</f>
        <v>1</v>
      </c>
    </row>
    <row r="66" spans="1:11" ht="24.75" customHeight="1" x14ac:dyDescent="0.2">
      <c r="A66" s="897" t="s">
        <v>457</v>
      </c>
      <c r="B66" s="898"/>
      <c r="C66" s="898"/>
      <c r="D66" s="898"/>
      <c r="E66" s="898"/>
      <c r="F66" s="898"/>
      <c r="G66" s="898"/>
      <c r="H66" s="898"/>
      <c r="I66" s="898"/>
      <c r="J66" s="899"/>
    </row>
    <row r="67" spans="1:11" ht="15" customHeight="1" x14ac:dyDescent="0.2">
      <c r="A67" s="900" t="s">
        <v>57</v>
      </c>
      <c r="B67" s="900"/>
      <c r="C67" s="900"/>
      <c r="D67" s="166" t="str">
        <f>IF('9'!M71=56,"Yes","No")</f>
        <v>Yes</v>
      </c>
      <c r="E67" s="901" t="str">
        <f>IF(D67="No","Check that all columns in Category 1 are complete if any funds are being used for salaries and benefits.","")</f>
        <v/>
      </c>
      <c r="F67" s="901"/>
      <c r="G67" s="901"/>
      <c r="H67" s="901"/>
      <c r="I67" s="901"/>
      <c r="J67" s="901"/>
      <c r="K67" s="165">
        <f t="shared" ref="K67:K72" si="4">IF(D67="Yes",1,0)</f>
        <v>1</v>
      </c>
    </row>
    <row r="68" spans="1:11" ht="15" customHeight="1" x14ac:dyDescent="0.2">
      <c r="A68" s="900" t="s">
        <v>58</v>
      </c>
      <c r="B68" s="900"/>
      <c r="C68" s="900"/>
      <c r="D68" s="166" t="str">
        <f>IF('9'!M106=25,"Yes","No")</f>
        <v>Yes</v>
      </c>
      <c r="E68" s="901" t="str">
        <f>IF(D68="No","Check that all columns in Category 2 are complete if any funds are being used for supplies and materials.","")</f>
        <v/>
      </c>
      <c r="F68" s="901"/>
      <c r="G68" s="901"/>
      <c r="H68" s="901"/>
      <c r="I68" s="901"/>
      <c r="J68" s="901"/>
      <c r="K68" s="165">
        <f t="shared" si="4"/>
        <v>1</v>
      </c>
    </row>
    <row r="69" spans="1:11" ht="15" customHeight="1" x14ac:dyDescent="0.2">
      <c r="A69" s="900" t="s">
        <v>136</v>
      </c>
      <c r="B69" s="900"/>
      <c r="C69" s="900"/>
      <c r="D69" s="166" t="str">
        <f>IF('9'!M141=25,"Yes","No")</f>
        <v>Yes</v>
      </c>
      <c r="E69" s="901" t="str">
        <f>IF(D69="No","Check that all columns in Category 3 are complete if any funds are being used for fixed property costs.","")</f>
        <v/>
      </c>
      <c r="F69" s="901"/>
      <c r="G69" s="901"/>
      <c r="H69" s="901"/>
      <c r="I69" s="901"/>
      <c r="J69" s="901"/>
      <c r="K69" s="165">
        <f t="shared" si="4"/>
        <v>1</v>
      </c>
    </row>
    <row r="70" spans="1:11" ht="15" customHeight="1" x14ac:dyDescent="0.2">
      <c r="A70" s="900" t="s">
        <v>138</v>
      </c>
      <c r="B70" s="900"/>
      <c r="C70" s="900"/>
      <c r="D70" s="166" t="str">
        <f>IF('9'!M176=25,"Yes","No")</f>
        <v>Yes</v>
      </c>
      <c r="E70" s="901" t="str">
        <f>IF(D70="No","Check that all columns in Category 4 are complete if any funds are being used for contractual services.","")</f>
        <v/>
      </c>
      <c r="F70" s="901"/>
      <c r="G70" s="901"/>
      <c r="H70" s="901"/>
      <c r="I70" s="901"/>
      <c r="J70" s="901"/>
      <c r="K70" s="165">
        <f t="shared" si="4"/>
        <v>1</v>
      </c>
    </row>
    <row r="71" spans="1:11" ht="15" customHeight="1" x14ac:dyDescent="0.2">
      <c r="A71" s="900" t="s">
        <v>61</v>
      </c>
      <c r="B71" s="900"/>
      <c r="C71" s="900"/>
      <c r="D71" s="166" t="str">
        <f>IF('9'!M211=25,"Yes","No")</f>
        <v>Yes</v>
      </c>
      <c r="E71" s="901" t="str">
        <f>IF(D71="No","Check that all columns in Category 5 are complete if any funds are being used for equipment.","")</f>
        <v/>
      </c>
      <c r="F71" s="901"/>
      <c r="G71" s="901"/>
      <c r="H71" s="901"/>
      <c r="I71" s="901"/>
      <c r="J71" s="901"/>
      <c r="K71" s="165">
        <f t="shared" si="4"/>
        <v>1</v>
      </c>
    </row>
    <row r="72" spans="1:11" ht="15" customHeight="1" x14ac:dyDescent="0.2">
      <c r="A72" s="900" t="s">
        <v>52</v>
      </c>
      <c r="B72" s="900"/>
      <c r="C72" s="900"/>
      <c r="D72" s="166" t="str">
        <f>IF('9'!M246=25,"Yes","No")</f>
        <v>Yes</v>
      </c>
      <c r="E72" s="901" t="str">
        <f>IF(D72="No","Check that all columns in Category 6 are complete if any funds are being used for other costs.","")</f>
        <v/>
      </c>
      <c r="F72" s="901"/>
      <c r="G72" s="901"/>
      <c r="H72" s="901"/>
      <c r="I72" s="901"/>
      <c r="J72" s="901"/>
      <c r="K72" s="165">
        <f t="shared" si="4"/>
        <v>1</v>
      </c>
    </row>
    <row r="73" spans="1:11" ht="15.75" x14ac:dyDescent="0.2">
      <c r="A73" s="897" t="s">
        <v>458</v>
      </c>
      <c r="B73" s="898"/>
      <c r="C73" s="898"/>
      <c r="D73" s="898"/>
      <c r="E73" s="898"/>
      <c r="F73" s="898"/>
      <c r="G73" s="898"/>
      <c r="H73" s="898"/>
      <c r="I73" s="898"/>
      <c r="J73" s="899"/>
    </row>
    <row r="74" spans="1:11" ht="15" customHeight="1" x14ac:dyDescent="0.2">
      <c r="A74" s="900" t="s">
        <v>474</v>
      </c>
      <c r="B74" s="900"/>
      <c r="C74" s="900"/>
      <c r="D74" s="166" t="str">
        <f>IF('10'!K1="Your budget is now complete.","Yes","No")</f>
        <v>Yes</v>
      </c>
      <c r="E74" s="901" t="str">
        <f>IF(D74="No","Revise the data provided on Tab 9 to ensure that the budget covers the full Title I allocation, minus any Title I funds that were consolidated.","")</f>
        <v/>
      </c>
      <c r="F74" s="901"/>
      <c r="G74" s="901"/>
      <c r="H74" s="901"/>
      <c r="I74" s="901"/>
      <c r="J74" s="901"/>
      <c r="K74" s="165">
        <f>IF(D74="Yes",1,0)</f>
        <v>1</v>
      </c>
    </row>
    <row r="75" spans="1:11" ht="24.75" customHeight="1" x14ac:dyDescent="0.2">
      <c r="A75" s="897" t="s">
        <v>466</v>
      </c>
      <c r="B75" s="898"/>
      <c r="C75" s="898"/>
      <c r="D75" s="898"/>
      <c r="E75" s="898"/>
      <c r="F75" s="898"/>
      <c r="G75" s="898"/>
      <c r="H75" s="898"/>
      <c r="I75" s="898"/>
      <c r="J75" s="899"/>
    </row>
    <row r="76" spans="1:11" ht="15" customHeight="1" x14ac:dyDescent="0.2">
      <c r="A76" s="900" t="s">
        <v>492</v>
      </c>
      <c r="B76" s="900"/>
      <c r="C76" s="900"/>
      <c r="D76" s="166" t="str">
        <f>IF(AND(('1'!E28-'3'!F19)&gt;0,OR('11'!B16="",'11'!B45="",AND('11'!B28="",'11'!B30="",'11'!B32="",'11'!B35="",'11'!B37="",'11'!B39="",'11'!B41=""))),"No","Yes")</f>
        <v>Yes</v>
      </c>
      <c r="E76" s="901" t="str">
        <f>IF(D76="No","Check all assurances included on the Title II planning worksheet.","")</f>
        <v/>
      </c>
      <c r="F76" s="901"/>
      <c r="G76" s="901"/>
      <c r="H76" s="901"/>
      <c r="I76" s="901"/>
      <c r="J76" s="901"/>
      <c r="K76" s="165">
        <f>IF(D76="Yes",1,0)</f>
        <v>1</v>
      </c>
    </row>
    <row r="77" spans="1:11" ht="24.75" customHeight="1" x14ac:dyDescent="0.2">
      <c r="A77" s="897" t="s">
        <v>459</v>
      </c>
      <c r="B77" s="898"/>
      <c r="C77" s="898"/>
      <c r="D77" s="898"/>
      <c r="E77" s="898"/>
      <c r="F77" s="898"/>
      <c r="G77" s="898"/>
      <c r="H77" s="898"/>
      <c r="I77" s="898"/>
      <c r="J77" s="899"/>
    </row>
    <row r="78" spans="1:11" ht="15" customHeight="1" x14ac:dyDescent="0.2">
      <c r="A78" s="900" t="s">
        <v>491</v>
      </c>
      <c r="B78" s="900"/>
      <c r="C78" s="900"/>
      <c r="D78" s="166" t="str">
        <f>IF(OR(LEN('12'!F13)&gt;LEN('12'!A18),LEN('12'!F45)&gt;LEN('12'!A50),LEN('12'!F87)&gt;LEN('12'!A92),LEN('12'!F129)&gt;LEN('12'!A134),LEN('12'!F171)&gt;LEN('12'!A176),LEN('12'!F213)&gt;LEN('12'!A218),LEN('12'!F255)&gt;LEN('12'!A260),LEN('12'!F297)&gt;LEN('12'!A302), LEN('12'!F339)&gt;LEN('12'!A344),LEN('12'!F381)&gt;LEN('12'!A386)),"No","Yes")</f>
        <v>Yes</v>
      </c>
      <c r="E78" s="901" t="str">
        <f>IF(D78="No","For each initiative/strategy for which any Title II funds will be budgeted, provide a summary of the planned activities.","")</f>
        <v/>
      </c>
      <c r="F78" s="901"/>
      <c r="G78" s="901"/>
      <c r="H78" s="901"/>
      <c r="I78" s="901"/>
      <c r="J78" s="901"/>
      <c r="K78" s="165">
        <f>IF(D78="Yes",1,0)</f>
        <v>1</v>
      </c>
    </row>
    <row r="79" spans="1:11" ht="15" customHeight="1" x14ac:dyDescent="0.2">
      <c r="A79" s="900" t="s">
        <v>489</v>
      </c>
      <c r="B79" s="900"/>
      <c r="C79" s="900"/>
      <c r="D79" s="166" t="str">
        <f>IF(AND(('1'!E28-'3'!F19)&gt;0,SUM('12'!F13,'12'!F45,'12'!F87,'12'!F129,'12'!F171,'12'!F213,'12'!F255,'12'!F297,'12'!F339,'12'!F381)&lt;0.95),"No","Yes")</f>
        <v>Yes</v>
      </c>
      <c r="E79" s="901" t="str">
        <f>IF(D79="No","Include summaries for Title II, Part A initiatives that cover 100 percent of Title II, Part A funds.","")</f>
        <v/>
      </c>
      <c r="F79" s="901"/>
      <c r="G79" s="901"/>
      <c r="H79" s="901"/>
      <c r="I79" s="901"/>
      <c r="J79" s="901"/>
      <c r="K79" s="165">
        <f>IF(D79="Yes",1,0)</f>
        <v>1</v>
      </c>
    </row>
    <row r="80" spans="1:11" ht="24.75" customHeight="1" x14ac:dyDescent="0.2">
      <c r="A80" s="897" t="s">
        <v>460</v>
      </c>
      <c r="B80" s="898"/>
      <c r="C80" s="898"/>
      <c r="D80" s="898"/>
      <c r="E80" s="898"/>
      <c r="F80" s="898"/>
      <c r="G80" s="898"/>
      <c r="H80" s="898"/>
      <c r="I80" s="898"/>
      <c r="J80" s="899"/>
    </row>
    <row r="81" spans="1:11" ht="15" customHeight="1" x14ac:dyDescent="0.2">
      <c r="A81" s="900" t="s">
        <v>57</v>
      </c>
      <c r="B81" s="900"/>
      <c r="C81" s="900"/>
      <c r="D81" s="166" t="str">
        <f>IF('13'!M39=25,"Yes","No")</f>
        <v>Yes</v>
      </c>
      <c r="E81" s="901" t="str">
        <f>IF(D81="No","Check that all columns in Category 1 are complete if any funds are being used for salaries and benefits.","")</f>
        <v/>
      </c>
      <c r="F81" s="901"/>
      <c r="G81" s="901"/>
      <c r="H81" s="901"/>
      <c r="I81" s="901"/>
      <c r="J81" s="901"/>
      <c r="K81" s="165">
        <f t="shared" ref="K81:K86" si="5">IF(D81="Yes",1,0)</f>
        <v>1</v>
      </c>
    </row>
    <row r="82" spans="1:11" ht="15" customHeight="1" x14ac:dyDescent="0.2">
      <c r="A82" s="900" t="s">
        <v>58</v>
      </c>
      <c r="B82" s="900"/>
      <c r="C82" s="900"/>
      <c r="D82" s="166" t="str">
        <f>IF('13'!M74=25,"Yes","No")</f>
        <v>Yes</v>
      </c>
      <c r="E82" s="901" t="str">
        <f>IF(D82="No","Check that all columns in Category 2 are complete if any funds are being used for supplies and materials.","")</f>
        <v/>
      </c>
      <c r="F82" s="901"/>
      <c r="G82" s="901"/>
      <c r="H82" s="901"/>
      <c r="I82" s="901"/>
      <c r="J82" s="901"/>
      <c r="K82" s="165">
        <f t="shared" si="5"/>
        <v>1</v>
      </c>
    </row>
    <row r="83" spans="1:11" ht="15" customHeight="1" x14ac:dyDescent="0.2">
      <c r="A83" s="900" t="s">
        <v>136</v>
      </c>
      <c r="B83" s="900"/>
      <c r="C83" s="900"/>
      <c r="D83" s="166" t="str">
        <f>IF('13'!M109=25,"Yes","No")</f>
        <v>Yes</v>
      </c>
      <c r="E83" s="901" t="str">
        <f>IF(D83="No","Check that all columns in Category 3 are complete if any funds are being used for fixed property costs.","")</f>
        <v/>
      </c>
      <c r="F83" s="901"/>
      <c r="G83" s="901"/>
      <c r="H83" s="901"/>
      <c r="I83" s="901"/>
      <c r="J83" s="901"/>
      <c r="K83" s="165">
        <f t="shared" si="5"/>
        <v>1</v>
      </c>
    </row>
    <row r="84" spans="1:11" ht="15" customHeight="1" x14ac:dyDescent="0.2">
      <c r="A84" s="900" t="s">
        <v>138</v>
      </c>
      <c r="B84" s="900"/>
      <c r="C84" s="900"/>
      <c r="D84" s="166" t="str">
        <f>IF('13'!M144=25,"Yes","No")</f>
        <v>Yes</v>
      </c>
      <c r="E84" s="901" t="str">
        <f>IF(D84="No","Check that all columns in Category 4 are complete if any funds are being used for contractual services.","")</f>
        <v/>
      </c>
      <c r="F84" s="901"/>
      <c r="G84" s="901"/>
      <c r="H84" s="901"/>
      <c r="I84" s="901"/>
      <c r="J84" s="901"/>
      <c r="K84" s="165">
        <f t="shared" si="5"/>
        <v>1</v>
      </c>
    </row>
    <row r="85" spans="1:11" ht="15" customHeight="1" x14ac:dyDescent="0.2">
      <c r="A85" s="900" t="s">
        <v>61</v>
      </c>
      <c r="B85" s="900"/>
      <c r="C85" s="900"/>
      <c r="D85" s="166" t="str">
        <f>IF('13'!M179=25,"Yes","No")</f>
        <v>Yes</v>
      </c>
      <c r="E85" s="901" t="str">
        <f>IF(D85="No","Check that all columns in Category 5 are complete if any funds are being used for equipment.","")</f>
        <v/>
      </c>
      <c r="F85" s="901"/>
      <c r="G85" s="901"/>
      <c r="H85" s="901"/>
      <c r="I85" s="901"/>
      <c r="J85" s="901"/>
      <c r="K85" s="165">
        <f t="shared" si="5"/>
        <v>1</v>
      </c>
    </row>
    <row r="86" spans="1:11" ht="15" customHeight="1" x14ac:dyDescent="0.2">
      <c r="A86" s="900" t="s">
        <v>52</v>
      </c>
      <c r="B86" s="900"/>
      <c r="C86" s="900"/>
      <c r="D86" s="166" t="str">
        <f>IF('13'!M214=25,"Yes","No")</f>
        <v>Yes</v>
      </c>
      <c r="E86" s="901" t="str">
        <f>IF(D86="No","Check that all columns in Category 6 are complete if any funds are being used for other costs.","")</f>
        <v/>
      </c>
      <c r="F86" s="901"/>
      <c r="G86" s="901"/>
      <c r="H86" s="901"/>
      <c r="I86" s="901"/>
      <c r="J86" s="901"/>
      <c r="K86" s="165">
        <f t="shared" si="5"/>
        <v>1</v>
      </c>
    </row>
    <row r="87" spans="1:11" ht="15.75" x14ac:dyDescent="0.2">
      <c r="A87" s="897" t="s">
        <v>461</v>
      </c>
      <c r="B87" s="898"/>
      <c r="C87" s="898"/>
      <c r="D87" s="898"/>
      <c r="E87" s="898"/>
      <c r="F87" s="898"/>
      <c r="G87" s="898"/>
      <c r="H87" s="898"/>
      <c r="I87" s="898"/>
      <c r="J87" s="899"/>
    </row>
    <row r="88" spans="1:11" ht="15" customHeight="1" x14ac:dyDescent="0.2">
      <c r="A88" s="900" t="s">
        <v>472</v>
      </c>
      <c r="B88" s="900"/>
      <c r="C88" s="900"/>
      <c r="D88" s="166" t="str">
        <f>IF('14'!K1="Your budget is now complete.","Yes","No")</f>
        <v>Yes</v>
      </c>
      <c r="E88" s="901" t="str">
        <f>IF(D88="No","Revise the data provided on Tab 13 to ensure that the budget covers the full Title II allocation, minus any Title II funds that were consolidated.","")</f>
        <v/>
      </c>
      <c r="F88" s="901"/>
      <c r="G88" s="901"/>
      <c r="H88" s="901"/>
      <c r="I88" s="901"/>
      <c r="J88" s="901"/>
      <c r="K88" s="165">
        <f>IF(D88="Yes",1,0)</f>
        <v>1</v>
      </c>
    </row>
    <row r="89" spans="1:11" ht="24.75" customHeight="1" x14ac:dyDescent="0.2">
      <c r="A89" s="897" t="s">
        <v>465</v>
      </c>
      <c r="B89" s="898"/>
      <c r="C89" s="898"/>
      <c r="D89" s="898"/>
      <c r="E89" s="898"/>
      <c r="F89" s="898"/>
      <c r="G89" s="898"/>
      <c r="H89" s="898"/>
      <c r="I89" s="898"/>
      <c r="J89" s="899"/>
    </row>
    <row r="90" spans="1:11" ht="15" customHeight="1" x14ac:dyDescent="0.2">
      <c r="A90" s="900" t="s">
        <v>493</v>
      </c>
      <c r="B90" s="900"/>
      <c r="C90" s="900"/>
      <c r="D90" s="166" t="str">
        <f>IF(AND(('1'!H28-'3'!F20)&gt;0,OR('15'!B10="",'15'!B13="")),"No","Yes")</f>
        <v>Yes</v>
      </c>
      <c r="E90" s="901" t="str">
        <f>IF(D90="No","Check all assurances included on the Title III planning worksheet.","")</f>
        <v/>
      </c>
      <c r="F90" s="901"/>
      <c r="G90" s="901"/>
      <c r="H90" s="901"/>
      <c r="I90" s="901"/>
      <c r="J90" s="901"/>
      <c r="K90" s="165">
        <f>IF(D90="Yes",1,0)</f>
        <v>1</v>
      </c>
    </row>
    <row r="91" spans="1:11" ht="15" customHeight="1" x14ac:dyDescent="0.2">
      <c r="A91" s="900" t="s">
        <v>494</v>
      </c>
      <c r="B91" s="900"/>
      <c r="C91" s="900"/>
      <c r="D91" s="166" t="str">
        <f>IF(AND(('1'!H28-'3'!F20)&gt;0,OR(LEN('15'!A22)&lt;20,LEN('15'!A47)&lt;20)),"No","Yes")</f>
        <v>Yes</v>
      </c>
      <c r="E91" s="901" t="str">
        <f>IF(D91="No","Provide descriptions of how the LEA meets the two planning requirements for Title III, Part A.","")</f>
        <v/>
      </c>
      <c r="F91" s="901"/>
      <c r="G91" s="901"/>
      <c r="H91" s="901"/>
      <c r="I91" s="901"/>
      <c r="J91" s="901"/>
      <c r="K91" s="165">
        <f>IF(D91="Yes",1,0)</f>
        <v>1</v>
      </c>
    </row>
    <row r="92" spans="1:11" ht="24.75" customHeight="1" x14ac:dyDescent="0.2">
      <c r="A92" s="897" t="s">
        <v>462</v>
      </c>
      <c r="B92" s="898"/>
      <c r="C92" s="898"/>
      <c r="D92" s="898"/>
      <c r="E92" s="898"/>
      <c r="F92" s="898"/>
      <c r="G92" s="898"/>
      <c r="H92" s="898"/>
      <c r="I92" s="898"/>
      <c r="J92" s="899"/>
    </row>
    <row r="93" spans="1:11" ht="15" customHeight="1" x14ac:dyDescent="0.2">
      <c r="A93" s="900" t="s">
        <v>486</v>
      </c>
      <c r="B93" s="900"/>
      <c r="C93" s="900"/>
      <c r="D93" s="166" t="str">
        <f>IF(AND(('1'!H28-'3'!F20)&gt;0,OR('16'!F13="",LEN('16'!A18)&lt;30)),"No","Yes")</f>
        <v>Yes</v>
      </c>
      <c r="E93" s="901" t="str">
        <f>IF(D93="No","Indicate a percentage of the LEA's Title III allocation that will be used for this required strategy and provide a summary of planned activities.","")</f>
        <v/>
      </c>
      <c r="F93" s="901"/>
      <c r="G93" s="901"/>
      <c r="H93" s="901"/>
      <c r="I93" s="901"/>
      <c r="J93" s="901"/>
      <c r="K93" s="165">
        <f>IF(D93="Yes",1,0)</f>
        <v>1</v>
      </c>
    </row>
    <row r="94" spans="1:11" ht="15" customHeight="1" x14ac:dyDescent="0.2">
      <c r="A94" s="900" t="s">
        <v>487</v>
      </c>
      <c r="B94" s="900"/>
      <c r="C94" s="900"/>
      <c r="D94" s="166" t="str">
        <f>IF(AND(('1'!H28-'3'!F20)&gt;0,OR('16'!F45="",LEN('16'!A50)&lt;30)),"No","Yes")</f>
        <v>Yes</v>
      </c>
      <c r="E94" s="901" t="str">
        <f>IF(D94="No","Indicate a percentage of the LEA's Title III allocation that will be used for this required strategy and provide a summary of planned activities.","")</f>
        <v/>
      </c>
      <c r="F94" s="901"/>
      <c r="G94" s="901"/>
      <c r="H94" s="901"/>
      <c r="I94" s="901"/>
      <c r="J94" s="901"/>
      <c r="K94" s="165">
        <f>IF(D94="Yes",1,0)</f>
        <v>1</v>
      </c>
    </row>
    <row r="95" spans="1:11" ht="15" customHeight="1" x14ac:dyDescent="0.2">
      <c r="A95" s="900" t="s">
        <v>488</v>
      </c>
      <c r="B95" s="900"/>
      <c r="C95" s="900"/>
      <c r="D95" s="166" t="str">
        <f>IF(OR(LEN('16'!F87)&gt;LEN('16'!A92),LEN('16'!F129)&gt;LEN('16'!A134),LEN('16'!F171)&gt;LEN('16'!A176),LEN('16'!F213)&gt;LEN('16'!A218),LEN('16'!F255)&gt;LEN('16'!A260),LEN('16'!F297)&gt;LEN('16'!A302),LEN('16'!F339)&gt;LEN('16'!A344),LEN('16'!F381)&gt;LEN('16'!A386)),"No","Yes")</f>
        <v>Yes</v>
      </c>
      <c r="E95" s="901" t="str">
        <f>IF(D95="No","For each initiative/strategy for which any Title III funds will be budgeted, provide a summary of the planned activities.","")</f>
        <v/>
      </c>
      <c r="F95" s="901"/>
      <c r="G95" s="901"/>
      <c r="H95" s="901"/>
      <c r="I95" s="901"/>
      <c r="J95" s="901"/>
      <c r="K95" s="165">
        <f>IF(D95="Yes",1,0)</f>
        <v>1</v>
      </c>
    </row>
    <row r="96" spans="1:11" ht="15" customHeight="1" x14ac:dyDescent="0.2">
      <c r="A96" s="900" t="s">
        <v>489</v>
      </c>
      <c r="B96" s="900"/>
      <c r="C96" s="900"/>
      <c r="D96" s="166" t="str">
        <f>IF(AND(('1'!H28-'3'!F20)&gt;0,SUM('16'!F13,'16'!F45,'16'!F87,'16'!F129,'16'!F171,'16'!F213,'16'!F255,'16'!F297,'16'!F339,'16'!F381)&lt;0.95),"No","Yes")</f>
        <v>Yes</v>
      </c>
      <c r="E96" s="901" t="str">
        <f>IF(D96="No","Include summaries for Title III, Part A initiatives that cover 100 percent of Title III, Part A funds.","")</f>
        <v/>
      </c>
      <c r="F96" s="901"/>
      <c r="G96" s="901"/>
      <c r="H96" s="901"/>
      <c r="I96" s="901"/>
      <c r="J96" s="901"/>
      <c r="K96" s="165">
        <f>IF(D96="Yes",1,0)</f>
        <v>1</v>
      </c>
    </row>
    <row r="97" spans="1:11" ht="24.75" customHeight="1" x14ac:dyDescent="0.2">
      <c r="A97" s="897" t="s">
        <v>463</v>
      </c>
      <c r="B97" s="898"/>
      <c r="C97" s="898"/>
      <c r="D97" s="898"/>
      <c r="E97" s="898"/>
      <c r="F97" s="898"/>
      <c r="G97" s="898"/>
      <c r="H97" s="898"/>
      <c r="I97" s="898"/>
      <c r="J97" s="899"/>
    </row>
    <row r="98" spans="1:11" ht="15" customHeight="1" x14ac:dyDescent="0.2">
      <c r="A98" s="900" t="s">
        <v>57</v>
      </c>
      <c r="B98" s="900"/>
      <c r="C98" s="900"/>
      <c r="D98" s="166" t="str">
        <f>IF('17'!M39=25,"Yes","No")</f>
        <v>Yes</v>
      </c>
      <c r="E98" s="901" t="str">
        <f>IF(D98="No","Check that all columns in Category 1 are complete if any funds are being used for salaries and benefits.","")</f>
        <v/>
      </c>
      <c r="F98" s="901"/>
      <c r="G98" s="901"/>
      <c r="H98" s="901"/>
      <c r="I98" s="901"/>
      <c r="J98" s="901"/>
      <c r="K98" s="165">
        <f t="shared" ref="K98:K103" si="6">IF(D98="Yes",1,0)</f>
        <v>1</v>
      </c>
    </row>
    <row r="99" spans="1:11" ht="15" customHeight="1" x14ac:dyDescent="0.2">
      <c r="A99" s="900" t="s">
        <v>58</v>
      </c>
      <c r="B99" s="900"/>
      <c r="C99" s="900"/>
      <c r="D99" s="166" t="str">
        <f>IF('17'!M74=25,"Yes","No")</f>
        <v>Yes</v>
      </c>
      <c r="E99" s="901" t="str">
        <f>IF(D99="No","Check that all columns in Category 2 are complete if any funds are being used for supplies and materials.","")</f>
        <v/>
      </c>
      <c r="F99" s="901"/>
      <c r="G99" s="901"/>
      <c r="H99" s="901"/>
      <c r="I99" s="901"/>
      <c r="J99" s="901"/>
      <c r="K99" s="165">
        <f t="shared" si="6"/>
        <v>1</v>
      </c>
    </row>
    <row r="100" spans="1:11" ht="15" customHeight="1" x14ac:dyDescent="0.2">
      <c r="A100" s="900" t="s">
        <v>136</v>
      </c>
      <c r="B100" s="900"/>
      <c r="C100" s="900"/>
      <c r="D100" s="166" t="str">
        <f>IF('17'!M109=25,"Yes","No")</f>
        <v>Yes</v>
      </c>
      <c r="E100" s="901" t="str">
        <f>IF(D100="No","Check that all columns in Category 3 are complete if any funds are being used for fixed property costs.","")</f>
        <v/>
      </c>
      <c r="F100" s="901"/>
      <c r="G100" s="901"/>
      <c r="H100" s="901"/>
      <c r="I100" s="901"/>
      <c r="J100" s="901"/>
      <c r="K100" s="165">
        <f t="shared" si="6"/>
        <v>1</v>
      </c>
    </row>
    <row r="101" spans="1:11" ht="15" customHeight="1" x14ac:dyDescent="0.2">
      <c r="A101" s="900" t="s">
        <v>138</v>
      </c>
      <c r="B101" s="900"/>
      <c r="C101" s="900"/>
      <c r="D101" s="166" t="str">
        <f>IF('17'!M144=25,"Yes","No")</f>
        <v>Yes</v>
      </c>
      <c r="E101" s="901" t="str">
        <f>IF(D101="No","Check that all columns in Category 4 are complete if any funds are being used for contractual services.","")</f>
        <v/>
      </c>
      <c r="F101" s="901"/>
      <c r="G101" s="901"/>
      <c r="H101" s="901"/>
      <c r="I101" s="901"/>
      <c r="J101" s="901"/>
      <c r="K101" s="165">
        <f t="shared" si="6"/>
        <v>1</v>
      </c>
    </row>
    <row r="102" spans="1:11" ht="15" customHeight="1" x14ac:dyDescent="0.2">
      <c r="A102" s="900" t="s">
        <v>61</v>
      </c>
      <c r="B102" s="900"/>
      <c r="C102" s="900"/>
      <c r="D102" s="166" t="str">
        <f>IF('17'!M179=25,"Yes","No")</f>
        <v>Yes</v>
      </c>
      <c r="E102" s="901" t="str">
        <f>IF(D102="No","Check that all columns in Category 5 are complete if any funds are being used for equipment.","")</f>
        <v/>
      </c>
      <c r="F102" s="901"/>
      <c r="G102" s="901"/>
      <c r="H102" s="901"/>
      <c r="I102" s="901"/>
      <c r="J102" s="901"/>
      <c r="K102" s="165">
        <f t="shared" si="6"/>
        <v>1</v>
      </c>
    </row>
    <row r="103" spans="1:11" ht="15" customHeight="1" x14ac:dyDescent="0.2">
      <c r="A103" s="900" t="s">
        <v>52</v>
      </c>
      <c r="B103" s="900"/>
      <c r="C103" s="900"/>
      <c r="D103" s="166" t="str">
        <f>IF('17'!M214=25,"Yes","No")</f>
        <v>Yes</v>
      </c>
      <c r="E103" s="901" t="str">
        <f>IF(D103="No","Check that all columns in Category 6 are complete if any funds are being used for other costs.","")</f>
        <v/>
      </c>
      <c r="F103" s="901"/>
      <c r="G103" s="901"/>
      <c r="H103" s="901"/>
      <c r="I103" s="901"/>
      <c r="J103" s="901"/>
      <c r="K103" s="165">
        <f t="shared" si="6"/>
        <v>1</v>
      </c>
    </row>
    <row r="104" spans="1:11" ht="15.75" x14ac:dyDescent="0.2">
      <c r="A104" s="897" t="s">
        <v>464</v>
      </c>
      <c r="B104" s="898"/>
      <c r="C104" s="898"/>
      <c r="D104" s="898"/>
      <c r="E104" s="898"/>
      <c r="F104" s="898"/>
      <c r="G104" s="898"/>
      <c r="H104" s="898"/>
      <c r="I104" s="898"/>
      <c r="J104" s="899"/>
    </row>
    <row r="105" spans="1:11" ht="15" customHeight="1" x14ac:dyDescent="0.2">
      <c r="A105" s="900" t="s">
        <v>473</v>
      </c>
      <c r="B105" s="900"/>
      <c r="C105" s="900"/>
      <c r="D105" s="166" t="str">
        <f>IF('18'!K1="Your budget is now complete.","Yes","No")</f>
        <v>Yes</v>
      </c>
      <c r="E105" s="901" t="str">
        <f>IF(D105="No","Revise the data provided on Tab 17 to ensure that the budget covers the full Title III allocation, minus any Title III funds that were consolidated.","")</f>
        <v/>
      </c>
      <c r="F105" s="901"/>
      <c r="G105" s="901"/>
      <c r="H105" s="901"/>
      <c r="I105" s="901"/>
      <c r="J105" s="901"/>
      <c r="K105" s="165">
        <f>IF(D105="Yes",1,0)</f>
        <v>1</v>
      </c>
    </row>
    <row r="106" spans="1:11" ht="15" customHeight="1" x14ac:dyDescent="0.2">
      <c r="A106" s="900" t="s">
        <v>476</v>
      </c>
      <c r="B106" s="900"/>
      <c r="C106" s="900"/>
      <c r="D106" s="166" t="str">
        <f>IF(('18'!J41+2)/('1'!H28+100)&gt;0.02,"No","Yes")</f>
        <v>Yes</v>
      </c>
      <c r="E106" s="901" t="str">
        <f>IF(D106="No","Decrease the amount of Title III, Part A funds used for administrative costs on Tab 17 to no more than 2 percent of the total Title III, Part A allocation.","")</f>
        <v/>
      </c>
      <c r="F106" s="901"/>
      <c r="G106" s="901"/>
      <c r="H106" s="901"/>
      <c r="I106" s="901"/>
      <c r="J106" s="901"/>
      <c r="K106" s="165">
        <f>IF(D106="Yes",1,0)</f>
        <v>1</v>
      </c>
    </row>
    <row r="107" spans="1:11" ht="24.75" customHeight="1" x14ac:dyDescent="0.2">
      <c r="A107" s="897" t="s">
        <v>490</v>
      </c>
      <c r="B107" s="898"/>
      <c r="C107" s="898"/>
      <c r="D107" s="898"/>
      <c r="E107" s="898"/>
      <c r="F107" s="898"/>
      <c r="G107" s="898"/>
      <c r="H107" s="898"/>
      <c r="I107" s="898"/>
      <c r="J107" s="899"/>
    </row>
    <row r="108" spans="1:11" ht="15" customHeight="1" x14ac:dyDescent="0.2">
      <c r="A108" s="900" t="s">
        <v>467</v>
      </c>
      <c r="B108" s="900"/>
      <c r="C108" s="900"/>
      <c r="D108" s="166" t="str">
        <f>IF(AND('1'!A6="District of Columbia Public Schools (DCPS)",OR('19'!B12="",'19'!D19="",'19'!B22="",'19'!B25="",'19'!B45="",'19'!D52:I52="",'19'!B55="",'19'!B74="",'19'!D81:I81="",'19'!B84="")),"No","Yes")</f>
        <v>Yes</v>
      </c>
      <c r="E108" s="901" t="str">
        <f>IF(D108="No","Check all equitable services assurances.","")</f>
        <v/>
      </c>
      <c r="F108" s="901"/>
      <c r="G108" s="901"/>
      <c r="H108" s="901"/>
      <c r="I108" s="901"/>
      <c r="J108" s="901"/>
      <c r="K108" s="165">
        <f>IF(D108="Yes",1,0)</f>
        <v>1</v>
      </c>
    </row>
    <row r="109" spans="1:11" ht="15" customHeight="1" x14ac:dyDescent="0.2">
      <c r="A109" s="900" t="s">
        <v>469</v>
      </c>
      <c r="B109" s="900"/>
      <c r="C109" s="900"/>
      <c r="D109" s="166" t="str">
        <f>IF(AND('1'!A6="District of Columbia Public Schools (DCPS)",OR('19'!F29="",'19'!F58="",'19'!F87="")),"No","Yes")</f>
        <v>Yes</v>
      </c>
      <c r="E109" s="901" t="str">
        <f>IF(D109="No","For each Consolidated Application program, indicate the amount of funds to be reserved for equitable services.","")</f>
        <v/>
      </c>
      <c r="F109" s="901"/>
      <c r="G109" s="901"/>
      <c r="H109" s="901"/>
      <c r="I109" s="901"/>
      <c r="J109" s="901"/>
      <c r="K109" s="165">
        <f>IF(D109="Yes",1,0)</f>
        <v>1</v>
      </c>
    </row>
    <row r="110" spans="1:11" ht="15" customHeight="1" x14ac:dyDescent="0.2">
      <c r="A110" s="900" t="s">
        <v>468</v>
      </c>
      <c r="B110" s="900"/>
      <c r="C110" s="900"/>
      <c r="D110" s="166" t="str">
        <f>IF(AND('1'!A6="District of Columbia Public Schools (DCPS)",OR(LEN('19'!B32)&lt;20,LEN('19'!B61)&lt;20,LEN('19'!B90)&lt;20)),"No","Yes")</f>
        <v>Yes</v>
      </c>
      <c r="E110" s="901" t="str">
        <f>IF(D110="No","For each Consolidated Application program, explain how the amount to be reserved for equitable services was calculated.","")</f>
        <v/>
      </c>
      <c r="F110" s="901"/>
      <c r="G110" s="901"/>
      <c r="H110" s="901"/>
      <c r="I110" s="901"/>
      <c r="J110" s="901"/>
      <c r="K110" s="165">
        <f>IF(D110="Yes",1,0)</f>
        <v>1</v>
      </c>
    </row>
    <row r="111" spans="1:11" ht="15" customHeight="1" x14ac:dyDescent="0.2">
      <c r="A111" s="900" t="s">
        <v>471</v>
      </c>
      <c r="B111" s="900"/>
      <c r="C111" s="900"/>
      <c r="D111" s="166" t="str">
        <f>IF(AND('1'!A6="District of Columbia Public Schools (DCPS)",OR('19'!B106="",'19'!B111="",'19'!B116="")),"No","Yes")</f>
        <v>Yes</v>
      </c>
      <c r="E111" s="901" t="str">
        <f>IF(D111="No","Check all Title I comparability assurances.","")</f>
        <v/>
      </c>
      <c r="F111" s="901"/>
      <c r="G111" s="901"/>
      <c r="H111" s="901"/>
      <c r="I111" s="901"/>
      <c r="J111" s="901"/>
      <c r="K111" s="165">
        <f>IF(D111="Yes",1,0)</f>
        <v>1</v>
      </c>
    </row>
    <row r="112" spans="1:11" x14ac:dyDescent="0.2">
      <c r="A112" s="900" t="s">
        <v>470</v>
      </c>
      <c r="B112" s="900"/>
      <c r="C112" s="900"/>
      <c r="D112" s="166" t="str">
        <f>IF(AND('1'!A6="District of Columbia Public Schools (DCPS)",OR('19'!B124="",'19'!B131="")),"No","Yes")</f>
        <v>Yes</v>
      </c>
      <c r="E112" s="903" t="str">
        <f>IF(D112="No","Check all maintenance of effort assurances.","")</f>
        <v/>
      </c>
      <c r="F112" s="904"/>
      <c r="G112" s="904"/>
      <c r="H112" s="904"/>
      <c r="I112" s="904"/>
      <c r="J112" s="905"/>
      <c r="K112" s="165">
        <f>IF(D112="Yes",1,0)</f>
        <v>1</v>
      </c>
    </row>
    <row r="113" spans="1:11" ht="15.75" x14ac:dyDescent="0.2">
      <c r="A113" s="897" t="s">
        <v>610</v>
      </c>
      <c r="B113" s="898"/>
      <c r="C113" s="898"/>
      <c r="D113" s="898"/>
      <c r="E113" s="898"/>
      <c r="F113" s="898"/>
      <c r="G113" s="898"/>
      <c r="H113" s="898"/>
      <c r="I113" s="898"/>
      <c r="J113" s="899"/>
    </row>
    <row r="114" spans="1:11" x14ac:dyDescent="0.2">
      <c r="A114" s="900" t="s">
        <v>611</v>
      </c>
      <c r="B114" s="900"/>
      <c r="C114" s="900"/>
      <c r="D114" s="166" t="str">
        <f>IF('20'!B9="X","Yes","No")</f>
        <v>Yes</v>
      </c>
      <c r="E114" s="901" t="str">
        <f>IF(D114="No","Check all applicable assurances.","")</f>
        <v/>
      </c>
      <c r="F114" s="901"/>
      <c r="G114" s="901"/>
      <c r="H114" s="901"/>
      <c r="I114" s="901"/>
      <c r="J114" s="901"/>
      <c r="K114" s="165">
        <f>IF(D114="Yes",1,0)</f>
        <v>1</v>
      </c>
    </row>
    <row r="115" spans="1:11" x14ac:dyDescent="0.2">
      <c r="A115" s="900" t="s">
        <v>612</v>
      </c>
      <c r="B115" s="900"/>
      <c r="C115" s="900"/>
      <c r="D115" s="166" t="str">
        <f>IF('20'!B12="X","Yes","No")</f>
        <v>Yes</v>
      </c>
      <c r="E115" s="901" t="str">
        <f>IF(D115="No","Check all applicable assurances.","")</f>
        <v/>
      </c>
      <c r="F115" s="901"/>
      <c r="G115" s="901"/>
      <c r="H115" s="901"/>
      <c r="I115" s="901"/>
      <c r="J115" s="901"/>
      <c r="K115" s="165">
        <f>IF(D115="Yes",1,0)</f>
        <v>1</v>
      </c>
    </row>
    <row r="116" spans="1:11" x14ac:dyDescent="0.2">
      <c r="A116" s="900" t="s">
        <v>613</v>
      </c>
      <c r="B116" s="900"/>
      <c r="C116" s="900"/>
      <c r="D116" s="166" t="str">
        <f>IF('20'!B15="X","Yes","No")</f>
        <v>Yes</v>
      </c>
      <c r="E116" s="901" t="str">
        <f>IF(D116="No","Check all applicable assurances.","")</f>
        <v/>
      </c>
      <c r="F116" s="901"/>
      <c r="G116" s="901"/>
      <c r="H116" s="901"/>
      <c r="I116" s="901"/>
      <c r="J116" s="901"/>
      <c r="K116" s="165">
        <f>IF(D116="Yes",1,0)</f>
        <v>1</v>
      </c>
    </row>
    <row r="117" spans="1:11" x14ac:dyDescent="0.2">
      <c r="A117" s="900" t="s">
        <v>614</v>
      </c>
      <c r="B117" s="900"/>
      <c r="C117" s="900"/>
      <c r="D117" s="166" t="str">
        <f>IF('20'!B15="X","Yes","No")</f>
        <v>Yes</v>
      </c>
      <c r="E117" s="901" t="str">
        <f>IF(D117="No","Check all applicable assurances.","")</f>
        <v/>
      </c>
      <c r="F117" s="901"/>
      <c r="G117" s="901"/>
      <c r="H117" s="901"/>
      <c r="I117" s="901"/>
      <c r="J117" s="901"/>
      <c r="K117" s="165">
        <f>IF(D117="Yes",1,0)</f>
        <v>1</v>
      </c>
    </row>
    <row r="118" spans="1:11" x14ac:dyDescent="0.2">
      <c r="K118" s="165">
        <f>SUM(K12:K117)</f>
        <v>86</v>
      </c>
    </row>
  </sheetData>
  <sheetProtection formatRows="0" selectLockedCells="1" selectUnlockedCells="1"/>
  <mergeCells count="201">
    <mergeCell ref="E52:J52"/>
    <mergeCell ref="A53:C53"/>
    <mergeCell ref="E53:J53"/>
    <mergeCell ref="A49:C49"/>
    <mergeCell ref="A63:J63"/>
    <mergeCell ref="A66:J66"/>
    <mergeCell ref="A58:C58"/>
    <mergeCell ref="E58:J58"/>
    <mergeCell ref="A59:C59"/>
    <mergeCell ref="E59:J59"/>
    <mergeCell ref="A60:C60"/>
    <mergeCell ref="E60:J60"/>
    <mergeCell ref="A62:C62"/>
    <mergeCell ref="A64:C64"/>
    <mergeCell ref="E64:J64"/>
    <mergeCell ref="A65:C65"/>
    <mergeCell ref="E65:J65"/>
    <mergeCell ref="A17:C17"/>
    <mergeCell ref="E17:J17"/>
    <mergeCell ref="A18:C18"/>
    <mergeCell ref="E18:J18"/>
    <mergeCell ref="E70:J70"/>
    <mergeCell ref="A19:C19"/>
    <mergeCell ref="E19:J19"/>
    <mergeCell ref="A52:C52"/>
    <mergeCell ref="A71:C71"/>
    <mergeCell ref="E71:J71"/>
    <mergeCell ref="A55:C55"/>
    <mergeCell ref="E55:J55"/>
    <mergeCell ref="A56:C56"/>
    <mergeCell ref="A44:J44"/>
    <mergeCell ref="E56:J56"/>
    <mergeCell ref="A57:C57"/>
    <mergeCell ref="E57:J57"/>
    <mergeCell ref="A61:J61"/>
    <mergeCell ref="A20:J20"/>
    <mergeCell ref="A21:C21"/>
    <mergeCell ref="E21:J21"/>
    <mergeCell ref="E62:J62"/>
    <mergeCell ref="A39:J39"/>
    <mergeCell ref="A40:C40"/>
    <mergeCell ref="A12:C12"/>
    <mergeCell ref="E12:J12"/>
    <mergeCell ref="A13:C13"/>
    <mergeCell ref="E13:J13"/>
    <mergeCell ref="A14:C14"/>
    <mergeCell ref="E14:J14"/>
    <mergeCell ref="A15:C15"/>
    <mergeCell ref="E15:J15"/>
    <mergeCell ref="A16:C16"/>
    <mergeCell ref="E16:J16"/>
    <mergeCell ref="A1:J1"/>
    <mergeCell ref="A2:J5"/>
    <mergeCell ref="A6:J6"/>
    <mergeCell ref="A7:J7"/>
    <mergeCell ref="A8:J8"/>
    <mergeCell ref="A9:C10"/>
    <mergeCell ref="D9:D10"/>
    <mergeCell ref="E9:J10"/>
    <mergeCell ref="A11:J11"/>
    <mergeCell ref="A87:J87"/>
    <mergeCell ref="A88:C88"/>
    <mergeCell ref="E88:J88"/>
    <mergeCell ref="A67:C67"/>
    <mergeCell ref="E67:J67"/>
    <mergeCell ref="A68:C68"/>
    <mergeCell ref="E68:J68"/>
    <mergeCell ref="A69:C69"/>
    <mergeCell ref="A80:J80"/>
    <mergeCell ref="A73:J73"/>
    <mergeCell ref="E69:J69"/>
    <mergeCell ref="A70:C70"/>
    <mergeCell ref="A77:J77"/>
    <mergeCell ref="A72:C72"/>
    <mergeCell ref="E72:J72"/>
    <mergeCell ref="A78:C78"/>
    <mergeCell ref="E78:J78"/>
    <mergeCell ref="A79:C79"/>
    <mergeCell ref="E79:J79"/>
    <mergeCell ref="A74:C74"/>
    <mergeCell ref="E74:J74"/>
    <mergeCell ref="A83:C83"/>
    <mergeCell ref="A86:C86"/>
    <mergeCell ref="E86:J86"/>
    <mergeCell ref="A96:C96"/>
    <mergeCell ref="E96:J96"/>
    <mergeCell ref="A92:J92"/>
    <mergeCell ref="A93:C93"/>
    <mergeCell ref="E93:J93"/>
    <mergeCell ref="A89:J89"/>
    <mergeCell ref="A90:C90"/>
    <mergeCell ref="E90:J90"/>
    <mergeCell ref="A91:C91"/>
    <mergeCell ref="E91:J91"/>
    <mergeCell ref="A94:C94"/>
    <mergeCell ref="E94:J94"/>
    <mergeCell ref="A95:C95"/>
    <mergeCell ref="E95:J95"/>
    <mergeCell ref="A22:C22"/>
    <mergeCell ref="E22:J22"/>
    <mergeCell ref="A23:C23"/>
    <mergeCell ref="E23:J23"/>
    <mergeCell ref="A75:J75"/>
    <mergeCell ref="A76:C76"/>
    <mergeCell ref="E76:J76"/>
    <mergeCell ref="E40:J40"/>
    <mergeCell ref="A41:C41"/>
    <mergeCell ref="E41:J41"/>
    <mergeCell ref="A42:C42"/>
    <mergeCell ref="E42:J42"/>
    <mergeCell ref="A43:C43"/>
    <mergeCell ref="E43:J43"/>
    <mergeCell ref="E46:J46"/>
    <mergeCell ref="A47:C47"/>
    <mergeCell ref="E47:J47"/>
    <mergeCell ref="A48:C48"/>
    <mergeCell ref="E48:J48"/>
    <mergeCell ref="A50:C50"/>
    <mergeCell ref="E50:J50"/>
    <mergeCell ref="E49:J49"/>
    <mergeCell ref="A51:J51"/>
    <mergeCell ref="A54:J54"/>
    <mergeCell ref="A45:C45"/>
    <mergeCell ref="E45:J45"/>
    <mergeCell ref="A46:C46"/>
    <mergeCell ref="A107:J107"/>
    <mergeCell ref="A108:C108"/>
    <mergeCell ref="E108:J108"/>
    <mergeCell ref="A81:C81"/>
    <mergeCell ref="E81:J81"/>
    <mergeCell ref="A82:C82"/>
    <mergeCell ref="E82:J82"/>
    <mergeCell ref="A105:C105"/>
    <mergeCell ref="E105:J105"/>
    <mergeCell ref="E83:J83"/>
    <mergeCell ref="A84:C84"/>
    <mergeCell ref="E84:J84"/>
    <mergeCell ref="A85:C85"/>
    <mergeCell ref="E85:J85"/>
    <mergeCell ref="A97:J97"/>
    <mergeCell ref="A98:C98"/>
    <mergeCell ref="E98:J98"/>
    <mergeCell ref="A104:J104"/>
    <mergeCell ref="E100:J100"/>
    <mergeCell ref="A101:C101"/>
    <mergeCell ref="E101:J101"/>
    <mergeCell ref="A111:C111"/>
    <mergeCell ref="E111:J111"/>
    <mergeCell ref="A112:C112"/>
    <mergeCell ref="E112:J112"/>
    <mergeCell ref="A109:C109"/>
    <mergeCell ref="E109:J109"/>
    <mergeCell ref="A110:C110"/>
    <mergeCell ref="E110:J110"/>
    <mergeCell ref="A99:C99"/>
    <mergeCell ref="E99:J99"/>
    <mergeCell ref="A100:C100"/>
    <mergeCell ref="E102:J102"/>
    <mergeCell ref="A103:C103"/>
    <mergeCell ref="E103:J103"/>
    <mergeCell ref="A106:C106"/>
    <mergeCell ref="E106:J106"/>
    <mergeCell ref="A102:C102"/>
    <mergeCell ref="A34:J34"/>
    <mergeCell ref="A35:C35"/>
    <mergeCell ref="E35:J35"/>
    <mergeCell ref="A36:C36"/>
    <mergeCell ref="E36:J36"/>
    <mergeCell ref="A37:C37"/>
    <mergeCell ref="E37:J37"/>
    <mergeCell ref="A38:C38"/>
    <mergeCell ref="E38:J38"/>
    <mergeCell ref="A25:C25"/>
    <mergeCell ref="E25:J25"/>
    <mergeCell ref="A24:C24"/>
    <mergeCell ref="E24:J24"/>
    <mergeCell ref="A26:C26"/>
    <mergeCell ref="E26:J26"/>
    <mergeCell ref="A27:C27"/>
    <mergeCell ref="E27:J27"/>
    <mergeCell ref="A28:C28"/>
    <mergeCell ref="E28:J28"/>
    <mergeCell ref="A29:C29"/>
    <mergeCell ref="E29:J29"/>
    <mergeCell ref="A30:C30"/>
    <mergeCell ref="E30:J30"/>
    <mergeCell ref="A31:C31"/>
    <mergeCell ref="E31:J31"/>
    <mergeCell ref="A32:C32"/>
    <mergeCell ref="E32:J32"/>
    <mergeCell ref="A33:C33"/>
    <mergeCell ref="E33:J33"/>
    <mergeCell ref="A113:J113"/>
    <mergeCell ref="A114:C114"/>
    <mergeCell ref="E114:J114"/>
    <mergeCell ref="A115:C115"/>
    <mergeCell ref="E115:J115"/>
    <mergeCell ref="A116:C116"/>
    <mergeCell ref="E116:J116"/>
    <mergeCell ref="A117:C117"/>
    <mergeCell ref="E117:J117"/>
  </mergeCells>
  <conditionalFormatting sqref="D55:D65 D67:D112 D45:D53 D12:D19 D21:D23 D39:D43">
    <cfRule type="cellIs" dxfId="45" priority="161" stopIfTrue="1" operator="equal">
      <formula>"No"</formula>
    </cfRule>
  </conditionalFormatting>
  <conditionalFormatting sqref="D55:D65 D67:D112 D45:D53 D12:D19 D21:D23 D39:D43">
    <cfRule type="cellIs" dxfId="44" priority="160" stopIfTrue="1" operator="equal">
      <formula>"N/A"</formula>
    </cfRule>
  </conditionalFormatting>
  <conditionalFormatting sqref="D67:D72 D62 D55:D60 D64:D65 D40:D43 D52:D53 D74:D112 D45:D50 D12:D19 D21:D23">
    <cfRule type="cellIs" dxfId="43" priority="159" stopIfTrue="1" operator="equal">
      <formula>"No"</formula>
    </cfRule>
  </conditionalFormatting>
  <conditionalFormatting sqref="A7">
    <cfRule type="containsText" dxfId="42" priority="155" stopIfTrue="1" operator="containsText" text="Successful">
      <formula>NOT(ISERROR(SEARCH("Successful",A7)))</formula>
    </cfRule>
    <cfRule type="containsText" dxfId="41" priority="156" stopIfTrue="1" operator="containsText" text="Failed">
      <formula>NOT(ISERROR(SEARCH("Failed",A7)))</formula>
    </cfRule>
  </conditionalFormatting>
  <conditionalFormatting sqref="D108:D112">
    <cfRule type="cellIs" dxfId="40" priority="116" stopIfTrue="1" operator="equal">
      <formula>"No"</formula>
    </cfRule>
  </conditionalFormatting>
  <conditionalFormatting sqref="D108:D112">
    <cfRule type="cellIs" dxfId="39" priority="115" stopIfTrue="1" operator="equal">
      <formula>"N/A"</formula>
    </cfRule>
  </conditionalFormatting>
  <conditionalFormatting sqref="D108:D112">
    <cfRule type="cellIs" dxfId="38" priority="114" stopIfTrue="1" operator="equal">
      <formula>"No"</formula>
    </cfRule>
  </conditionalFormatting>
  <conditionalFormatting sqref="D108:D112">
    <cfRule type="cellIs" dxfId="37" priority="112" stopIfTrue="1" operator="equal">
      <formula>"""No"""</formula>
    </cfRule>
    <cfRule type="colorScale" priority="113">
      <colorScale>
        <cfvo type="min"/>
        <cfvo type="percentile" val="50"/>
        <cfvo type="max"/>
        <color rgb="FFF8696B"/>
        <color rgb="FFFFEB84"/>
        <color rgb="FF63BE7B"/>
      </colorScale>
    </cfRule>
  </conditionalFormatting>
  <conditionalFormatting sqref="D88">
    <cfRule type="cellIs" dxfId="36" priority="110" stopIfTrue="1" operator="equal">
      <formula>"""No"""</formula>
    </cfRule>
    <cfRule type="colorScale" priority="111">
      <colorScale>
        <cfvo type="min"/>
        <cfvo type="percentile" val="50"/>
        <cfvo type="max"/>
        <color rgb="FFF8696B"/>
        <color rgb="FFFFEB84"/>
        <color rgb="FF63BE7B"/>
      </colorScale>
    </cfRule>
  </conditionalFormatting>
  <conditionalFormatting sqref="D74">
    <cfRule type="cellIs" dxfId="35" priority="107" stopIfTrue="1" operator="equal">
      <formula>"""No"""</formula>
    </cfRule>
    <cfRule type="colorScale" priority="108">
      <colorScale>
        <cfvo type="min"/>
        <cfvo type="percentile" val="50"/>
        <cfvo type="max"/>
        <color rgb="FFF8696B"/>
        <color rgb="FFFFEB84"/>
        <color rgb="FF63BE7B"/>
      </colorScale>
    </cfRule>
  </conditionalFormatting>
  <conditionalFormatting sqref="D62">
    <cfRule type="cellIs" dxfId="34" priority="102" stopIfTrue="1" operator="equal">
      <formula>"""No"""</formula>
    </cfRule>
    <cfRule type="colorScale" priority="103">
      <colorScale>
        <cfvo type="min"/>
        <cfvo type="percentile" val="50"/>
        <cfvo type="max"/>
        <color rgb="FFF8696B"/>
        <color rgb="FFFFEB84"/>
        <color rgb="FF63BE7B"/>
      </colorScale>
    </cfRule>
  </conditionalFormatting>
  <conditionalFormatting sqref="D98:D103 D92:D96">
    <cfRule type="cellIs" dxfId="33" priority="342" stopIfTrue="1" operator="equal">
      <formula>"""No"""</formula>
    </cfRule>
    <cfRule type="colorScale" priority="343">
      <colorScale>
        <cfvo type="min"/>
        <cfvo type="percentile" val="50"/>
        <cfvo type="max"/>
        <color rgb="FFF8696B"/>
        <color rgb="FFFFEB84"/>
        <color rgb="FF63BE7B"/>
      </colorScale>
    </cfRule>
  </conditionalFormatting>
  <conditionalFormatting sqref="D81:D86">
    <cfRule type="cellIs" dxfId="32" priority="98" stopIfTrue="1" operator="equal">
      <formula>"""No"""</formula>
    </cfRule>
    <cfRule type="colorScale" priority="99">
      <colorScale>
        <cfvo type="min"/>
        <cfvo type="percentile" val="50"/>
        <cfvo type="max"/>
        <color rgb="FFF8696B"/>
        <color rgb="FFFFEB84"/>
        <color rgb="FF63BE7B"/>
      </colorScale>
    </cfRule>
  </conditionalFormatting>
  <conditionalFormatting sqref="D67:D72">
    <cfRule type="cellIs" dxfId="31" priority="91" stopIfTrue="1" operator="equal">
      <formula>"""No"""</formula>
    </cfRule>
    <cfRule type="colorScale" priority="92">
      <colorScale>
        <cfvo type="min"/>
        <cfvo type="percentile" val="50"/>
        <cfvo type="max"/>
        <color rgb="FFF8696B"/>
        <color rgb="FFFFEB84"/>
        <color rgb="FF63BE7B"/>
      </colorScale>
    </cfRule>
  </conditionalFormatting>
  <conditionalFormatting sqref="D55:D60">
    <cfRule type="cellIs" dxfId="30" priority="82" stopIfTrue="1" operator="equal">
      <formula>"""No"""</formula>
    </cfRule>
    <cfRule type="colorScale" priority="83">
      <colorScale>
        <cfvo type="min"/>
        <cfvo type="percentile" val="50"/>
        <cfvo type="max"/>
        <color rgb="FFF8696B"/>
        <color rgb="FFFFEB84"/>
        <color rgb="FF63BE7B"/>
      </colorScale>
    </cfRule>
  </conditionalFormatting>
  <conditionalFormatting sqref="D92:D112">
    <cfRule type="cellIs" dxfId="29" priority="475" stopIfTrue="1" operator="equal">
      <formula>"""No"""</formula>
    </cfRule>
    <cfRule type="colorScale" priority="476">
      <colorScale>
        <cfvo type="min"/>
        <cfvo type="percentile" val="50"/>
        <cfvo type="max"/>
        <color rgb="FFF8696B"/>
        <color rgb="FFFFEB84"/>
        <color rgb="FF63BE7B"/>
      </colorScale>
    </cfRule>
  </conditionalFormatting>
  <conditionalFormatting sqref="D78:D79">
    <cfRule type="cellIs" dxfId="28" priority="80" stopIfTrue="1" operator="equal">
      <formula>"""No"""</formula>
    </cfRule>
    <cfRule type="colorScale" priority="81">
      <colorScale>
        <cfvo type="min"/>
        <cfvo type="percentile" val="50"/>
        <cfvo type="max"/>
        <color rgb="FFF8696B"/>
        <color rgb="FFFFEB84"/>
        <color rgb="FF63BE7B"/>
      </colorScale>
    </cfRule>
  </conditionalFormatting>
  <conditionalFormatting sqref="D77:D79">
    <cfRule type="cellIs" dxfId="27" priority="510" stopIfTrue="1" operator="equal">
      <formula>"""No"""</formula>
    </cfRule>
    <cfRule type="colorScale" priority="511">
      <colorScale>
        <cfvo type="min"/>
        <cfvo type="percentile" val="50"/>
        <cfvo type="max"/>
        <color rgb="FFF8696B"/>
        <color rgb="FFFFEB84"/>
        <color rgb="FF63BE7B"/>
      </colorScale>
    </cfRule>
  </conditionalFormatting>
  <conditionalFormatting sqref="D64:D65">
    <cfRule type="cellIs" dxfId="26" priority="75" stopIfTrue="1" operator="equal">
      <formula>"""No"""</formula>
    </cfRule>
    <cfRule type="colorScale" priority="76">
      <colorScale>
        <cfvo type="min"/>
        <cfvo type="percentile" val="50"/>
        <cfvo type="max"/>
        <color rgb="FFF8696B"/>
        <color rgb="FFFFEB84"/>
        <color rgb="FF63BE7B"/>
      </colorScale>
    </cfRule>
  </conditionalFormatting>
  <conditionalFormatting sqref="D61:D65 D12:D19 D45:D53 D21:D23 D39:D43">
    <cfRule type="cellIs" dxfId="25" priority="541" stopIfTrue="1" operator="equal">
      <formula>"""No"""</formula>
    </cfRule>
    <cfRule type="colorScale" priority="542">
      <colorScale>
        <cfvo type="min"/>
        <cfvo type="percentile" val="50"/>
        <cfvo type="max"/>
        <color rgb="FFF8696B"/>
        <color rgb="FFFFEB84"/>
        <color rgb="FF63BE7B"/>
      </colorScale>
    </cfRule>
  </conditionalFormatting>
  <conditionalFormatting sqref="D52:D53">
    <cfRule type="cellIs" dxfId="24" priority="66" stopIfTrue="1" operator="equal">
      <formula>"""No"""</formula>
    </cfRule>
    <cfRule type="colorScale" priority="67">
      <colorScale>
        <cfvo type="min"/>
        <cfvo type="percentile" val="50"/>
        <cfvo type="max"/>
        <color rgb="FFF8696B"/>
        <color rgb="FFFFEB84"/>
        <color rgb="FF63BE7B"/>
      </colorScale>
    </cfRule>
  </conditionalFormatting>
  <conditionalFormatting sqref="D76">
    <cfRule type="cellIs" dxfId="23" priority="568" stopIfTrue="1" operator="equal">
      <formula>"""No"""</formula>
    </cfRule>
    <cfRule type="colorScale" priority="569">
      <colorScale>
        <cfvo type="min"/>
        <cfvo type="percentile" val="50"/>
        <cfvo type="max"/>
        <color rgb="FFF8696B"/>
        <color rgb="FFFFEB84"/>
        <color rgb="FF63BE7B"/>
      </colorScale>
    </cfRule>
  </conditionalFormatting>
  <conditionalFormatting sqref="D90:D91">
    <cfRule type="cellIs" dxfId="22" priority="611" stopIfTrue="1" operator="equal">
      <formula>"""No"""</formula>
    </cfRule>
    <cfRule type="colorScale" priority="612">
      <colorScale>
        <cfvo type="min"/>
        <cfvo type="percentile" val="50"/>
        <cfvo type="max"/>
        <color rgb="FFF8696B"/>
        <color rgb="FFFFEB84"/>
        <color rgb="FF63BE7B"/>
      </colorScale>
    </cfRule>
  </conditionalFormatting>
  <conditionalFormatting sqref="D73:D91">
    <cfRule type="cellIs" dxfId="21" priority="645" stopIfTrue="1" operator="equal">
      <formula>"""No"""</formula>
    </cfRule>
    <cfRule type="colorScale" priority="646">
      <colorScale>
        <cfvo type="min"/>
        <cfvo type="percentile" val="50"/>
        <cfvo type="max"/>
        <color rgb="FFF8696B"/>
        <color rgb="FFFFEB84"/>
        <color rgb="FF63BE7B"/>
      </colorScale>
    </cfRule>
  </conditionalFormatting>
  <conditionalFormatting sqref="D75:D91">
    <cfRule type="cellIs" dxfId="20" priority="647" stopIfTrue="1" operator="equal">
      <formula>"""No"""</formula>
    </cfRule>
    <cfRule type="colorScale" priority="648">
      <colorScale>
        <cfvo type="min"/>
        <cfvo type="percentile" val="50"/>
        <cfvo type="max"/>
        <color rgb="FFF8696B"/>
        <color rgb="FFFFEB84"/>
        <color rgb="FF63BE7B"/>
      </colorScale>
    </cfRule>
  </conditionalFormatting>
  <conditionalFormatting sqref="D35:D38">
    <cfRule type="cellIs" dxfId="19" priority="61" stopIfTrue="1" operator="equal">
      <formula>"No"</formula>
    </cfRule>
  </conditionalFormatting>
  <conditionalFormatting sqref="D35:D38">
    <cfRule type="cellIs" dxfId="18" priority="63" stopIfTrue="1" operator="equal">
      <formula>"No"</formula>
    </cfRule>
  </conditionalFormatting>
  <conditionalFormatting sqref="D35:D38">
    <cfRule type="cellIs" dxfId="17" priority="62" stopIfTrue="1" operator="equal">
      <formula>"N/A"</formula>
    </cfRule>
  </conditionalFormatting>
  <conditionalFormatting sqref="D35:D38">
    <cfRule type="cellIs" dxfId="16" priority="64" stopIfTrue="1" operator="equal">
      <formula>"""No"""</formula>
    </cfRule>
    <cfRule type="colorScale" priority="65">
      <colorScale>
        <cfvo type="min"/>
        <cfvo type="percentile" val="50"/>
        <cfvo type="max"/>
        <color rgb="FFF8696B"/>
        <color rgb="FFFFEB84"/>
        <color rgb="FF63BE7B"/>
      </colorScale>
    </cfRule>
  </conditionalFormatting>
  <conditionalFormatting sqref="D25:D33">
    <cfRule type="cellIs" dxfId="15" priority="58" stopIfTrue="1" operator="equal">
      <formula>"No"</formula>
    </cfRule>
  </conditionalFormatting>
  <conditionalFormatting sqref="D25:D33">
    <cfRule type="cellIs" dxfId="14" priority="57" stopIfTrue="1" operator="equal">
      <formula>"N/A"</formula>
    </cfRule>
  </conditionalFormatting>
  <conditionalFormatting sqref="D25:D33">
    <cfRule type="cellIs" dxfId="13" priority="56" stopIfTrue="1" operator="equal">
      <formula>"No"</formula>
    </cfRule>
  </conditionalFormatting>
  <conditionalFormatting sqref="D25:D33">
    <cfRule type="cellIs" dxfId="12" priority="59" stopIfTrue="1" operator="equal">
      <formula>"""No"""</formula>
    </cfRule>
    <cfRule type="colorScale" priority="60">
      <colorScale>
        <cfvo type="min"/>
        <cfvo type="percentile" val="50"/>
        <cfvo type="max"/>
        <color rgb="FFF8696B"/>
        <color rgb="FFFFEB84"/>
        <color rgb="FF63BE7B"/>
      </colorScale>
    </cfRule>
  </conditionalFormatting>
  <conditionalFormatting sqref="D24">
    <cfRule type="cellIs" dxfId="11" priority="53" stopIfTrue="1" operator="equal">
      <formula>"No"</formula>
    </cfRule>
  </conditionalFormatting>
  <conditionalFormatting sqref="D24">
    <cfRule type="cellIs" dxfId="10" priority="52" stopIfTrue="1" operator="equal">
      <formula>"N/A"</formula>
    </cfRule>
  </conditionalFormatting>
  <conditionalFormatting sqref="D24">
    <cfRule type="cellIs" dxfId="9" priority="51" stopIfTrue="1" operator="equal">
      <formula>"No"</formula>
    </cfRule>
  </conditionalFormatting>
  <conditionalFormatting sqref="D24">
    <cfRule type="cellIs" dxfId="8" priority="54" stopIfTrue="1" operator="equal">
      <formula>"""No"""</formula>
    </cfRule>
    <cfRule type="colorScale" priority="55">
      <colorScale>
        <cfvo type="min"/>
        <cfvo type="percentile" val="50"/>
        <cfvo type="max"/>
        <color rgb="FFF8696B"/>
        <color rgb="FFFFEB84"/>
        <color rgb="FF63BE7B"/>
      </colorScale>
    </cfRule>
  </conditionalFormatting>
  <conditionalFormatting sqref="D113:D117">
    <cfRule type="cellIs" dxfId="7" priority="8" stopIfTrue="1" operator="equal">
      <formula>"No"</formula>
    </cfRule>
  </conditionalFormatting>
  <conditionalFormatting sqref="D113:D117">
    <cfRule type="cellIs" dxfId="6" priority="7" stopIfTrue="1" operator="equal">
      <formula>"N/A"</formula>
    </cfRule>
  </conditionalFormatting>
  <conditionalFormatting sqref="D113:D117">
    <cfRule type="cellIs" dxfId="5" priority="6" stopIfTrue="1" operator="equal">
      <formula>"No"</formula>
    </cfRule>
  </conditionalFormatting>
  <conditionalFormatting sqref="D114:D117">
    <cfRule type="cellIs" dxfId="4" priority="5" stopIfTrue="1" operator="equal">
      <formula>"No"</formula>
    </cfRule>
  </conditionalFormatting>
  <conditionalFormatting sqref="D114:D117">
    <cfRule type="cellIs" dxfId="3" priority="4" stopIfTrue="1" operator="equal">
      <formula>"N/A"</formula>
    </cfRule>
  </conditionalFormatting>
  <conditionalFormatting sqref="D114:D117">
    <cfRule type="cellIs" dxfId="2" priority="3" stopIfTrue="1" operator="equal">
      <formula>"No"</formula>
    </cfRule>
  </conditionalFormatting>
  <conditionalFormatting sqref="D114:D117">
    <cfRule type="cellIs" dxfId="1" priority="649" stopIfTrue="1" operator="equal">
      <formula>"""No"""</formula>
    </cfRule>
    <cfRule type="colorScale" priority="650">
      <colorScale>
        <cfvo type="min"/>
        <cfvo type="percentile" val="50"/>
        <cfvo type="max"/>
        <color rgb="FFF8696B"/>
        <color rgb="FFFFEB84"/>
        <color rgb="FF63BE7B"/>
      </colorScale>
    </cfRule>
  </conditionalFormatting>
  <conditionalFormatting sqref="D113:D117">
    <cfRule type="cellIs" dxfId="0" priority="651" stopIfTrue="1" operator="equal">
      <formula>"""No"""</formula>
    </cfRule>
    <cfRule type="colorScale" priority="652">
      <colorScale>
        <cfvo type="min"/>
        <cfvo type="percentile" val="50"/>
        <cfvo type="max"/>
        <color rgb="FFF8696B"/>
        <color rgb="FFFFEB84"/>
        <color rgb="FF63BE7B"/>
      </colorScale>
    </cfRule>
  </conditionalFormatting>
  <pageMargins left="0.75" right="0.75" top="1" bottom="1" header="0.5" footer="0.5"/>
  <pageSetup scale="86" fitToHeight="0" orientation="landscape" r:id="rId1"/>
  <headerFooter alignWithMargins="0">
    <oddHeader>&amp;L&amp;A Tab: Page &amp;P of &amp;N</oddHeader>
  </headerFooter>
  <rowBreaks count="2" manualBreakCount="2">
    <brk id="19" max="16383" man="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L381"/>
  <sheetViews>
    <sheetView topLeftCell="A10" zoomScale="90" zoomScaleNormal="90" workbookViewId="0">
      <selection activeCell="A80" sqref="A80:J81"/>
    </sheetView>
  </sheetViews>
  <sheetFormatPr defaultColWidth="9.140625" defaultRowHeight="12.75" x14ac:dyDescent="0.2"/>
  <cols>
    <col min="1" max="10" width="15.7109375" style="1" customWidth="1"/>
    <col min="11" max="12" width="9.140625" style="1" hidden="1" customWidth="1"/>
    <col min="13" max="13" width="0" style="1" hidden="1" customWidth="1"/>
    <col min="14" max="16384" width="9.140625" style="1"/>
  </cols>
  <sheetData>
    <row r="1" spans="1:10" ht="13.5" thickTop="1" x14ac:dyDescent="0.2">
      <c r="A1" s="416" t="s">
        <v>557</v>
      </c>
      <c r="B1" s="417"/>
      <c r="C1" s="417"/>
      <c r="D1" s="417"/>
      <c r="E1" s="417"/>
      <c r="F1" s="417"/>
      <c r="G1" s="417"/>
      <c r="H1" s="417"/>
      <c r="I1" s="417"/>
      <c r="J1" s="418"/>
    </row>
    <row r="2" spans="1:10" x14ac:dyDescent="0.2">
      <c r="A2" s="419"/>
      <c r="B2" s="420"/>
      <c r="C2" s="420"/>
      <c r="D2" s="420"/>
      <c r="E2" s="420"/>
      <c r="F2" s="420"/>
      <c r="G2" s="420"/>
      <c r="H2" s="420"/>
      <c r="I2" s="420"/>
      <c r="J2" s="421"/>
    </row>
    <row r="3" spans="1:10" ht="31.9" customHeight="1" x14ac:dyDescent="0.2">
      <c r="A3" s="422" t="s">
        <v>589</v>
      </c>
      <c r="B3" s="423"/>
      <c r="C3" s="423"/>
      <c r="D3" s="423"/>
      <c r="E3" s="423"/>
      <c r="F3" s="423"/>
      <c r="G3" s="423"/>
      <c r="H3" s="423"/>
      <c r="I3" s="423"/>
      <c r="J3" s="424"/>
    </row>
    <row r="4" spans="1:10" x14ac:dyDescent="0.2">
      <c r="A4" s="425"/>
      <c r="B4" s="426"/>
      <c r="C4" s="426"/>
      <c r="D4" s="426"/>
      <c r="E4" s="426"/>
      <c r="F4" s="426"/>
      <c r="G4" s="426"/>
      <c r="H4" s="426"/>
      <c r="I4" s="426"/>
      <c r="J4" s="427"/>
    </row>
    <row r="5" spans="1:10" x14ac:dyDescent="0.2">
      <c r="A5" s="428"/>
      <c r="B5" s="429"/>
      <c r="C5" s="429"/>
      <c r="D5" s="429"/>
      <c r="E5" s="429"/>
      <c r="F5" s="429"/>
      <c r="G5" s="429"/>
      <c r="H5" s="429"/>
      <c r="I5" s="429"/>
      <c r="J5" s="430"/>
    </row>
    <row r="6" spans="1:10" s="61" customFormat="1" ht="13.5" thickBot="1" x14ac:dyDescent="0.25">
      <c r="A6" s="180"/>
      <c r="B6" s="181"/>
      <c r="C6" s="182"/>
      <c r="D6" s="178"/>
      <c r="E6" s="178"/>
      <c r="F6" s="178"/>
      <c r="G6" s="178"/>
      <c r="H6" s="183"/>
      <c r="I6" s="182"/>
      <c r="J6" s="179"/>
    </row>
    <row r="7" spans="1:10" s="61" customFormat="1" ht="12.75" customHeight="1" thickTop="1" x14ac:dyDescent="0.2">
      <c r="A7" s="352" t="s">
        <v>544</v>
      </c>
      <c r="B7" s="353"/>
      <c r="C7" s="353"/>
      <c r="D7" s="353"/>
      <c r="E7" s="354"/>
      <c r="F7" s="355" t="s">
        <v>146</v>
      </c>
      <c r="G7" s="355"/>
      <c r="H7" s="355"/>
      <c r="I7" s="355"/>
      <c r="J7" s="356"/>
    </row>
    <row r="8" spans="1:10" s="61" customFormat="1" ht="13.5" thickBot="1" x14ac:dyDescent="0.25">
      <c r="A8" s="317" t="s">
        <v>519</v>
      </c>
      <c r="B8" s="318"/>
      <c r="C8" s="318"/>
      <c r="D8" s="318"/>
      <c r="E8" s="318"/>
      <c r="F8" s="319">
        <f>IF(F7="Yes",ROUND('1'!$B$28*0.2,2),0)</f>
        <v>0</v>
      </c>
      <c r="G8" s="319"/>
      <c r="H8" s="319"/>
      <c r="I8" s="319"/>
      <c r="J8" s="320"/>
    </row>
    <row r="9" spans="1:10" ht="13.5" thickTop="1" x14ac:dyDescent="0.2">
      <c r="A9" s="443" t="s">
        <v>587</v>
      </c>
      <c r="B9" s="444"/>
      <c r="C9" s="444"/>
      <c r="D9" s="444"/>
      <c r="E9" s="444"/>
      <c r="F9" s="444"/>
      <c r="G9" s="444"/>
      <c r="H9" s="444"/>
      <c r="I9" s="444"/>
      <c r="J9" s="445"/>
    </row>
    <row r="10" spans="1:10" x14ac:dyDescent="0.2">
      <c r="A10" s="446"/>
      <c r="B10" s="447"/>
      <c r="C10" s="447"/>
      <c r="D10" s="447"/>
      <c r="E10" s="447"/>
      <c r="F10" s="447"/>
      <c r="G10" s="447"/>
      <c r="H10" s="447"/>
      <c r="I10" s="447"/>
      <c r="J10" s="448"/>
    </row>
    <row r="11" spans="1:10" x14ac:dyDescent="0.2">
      <c r="A11" s="449" t="s">
        <v>558</v>
      </c>
      <c r="B11" s="450"/>
      <c r="C11" s="450"/>
      <c r="D11" s="450"/>
      <c r="E11" s="450"/>
      <c r="F11" s="450"/>
      <c r="G11" s="450"/>
      <c r="H11" s="450"/>
      <c r="I11" s="450"/>
      <c r="J11" s="451"/>
    </row>
    <row r="12" spans="1:10" x14ac:dyDescent="0.2">
      <c r="A12" s="452"/>
      <c r="B12" s="453"/>
      <c r="C12" s="453"/>
      <c r="D12" s="453"/>
      <c r="E12" s="453"/>
      <c r="F12" s="453"/>
      <c r="G12" s="453"/>
      <c r="H12" s="453"/>
      <c r="I12" s="453"/>
      <c r="J12" s="454"/>
    </row>
    <row r="13" spans="1:10" ht="30.6" customHeight="1" x14ac:dyDescent="0.2">
      <c r="A13" s="455"/>
      <c r="B13" s="456"/>
      <c r="C13" s="456"/>
      <c r="D13" s="456"/>
      <c r="E13" s="456"/>
      <c r="F13" s="456"/>
      <c r="G13" s="456"/>
      <c r="H13" s="456"/>
      <c r="I13" s="456"/>
      <c r="J13" s="457"/>
    </row>
    <row r="14" spans="1:10" x14ac:dyDescent="0.2">
      <c r="A14" s="357" t="s">
        <v>518</v>
      </c>
      <c r="B14" s="358"/>
      <c r="C14" s="358"/>
      <c r="D14" s="358"/>
      <c r="E14" s="358"/>
      <c r="F14" s="358"/>
      <c r="G14" s="358"/>
      <c r="H14" s="358"/>
      <c r="I14" s="358"/>
      <c r="J14" s="359"/>
    </row>
    <row r="15" spans="1:10" x14ac:dyDescent="0.2">
      <c r="A15" s="336"/>
      <c r="B15" s="337"/>
      <c r="C15" s="337"/>
      <c r="D15" s="337"/>
      <c r="E15" s="337"/>
      <c r="F15" s="337"/>
      <c r="G15" s="337"/>
      <c r="H15" s="337"/>
      <c r="I15" s="337"/>
      <c r="J15" s="338"/>
    </row>
    <row r="16" spans="1:10" ht="12.75" customHeight="1" x14ac:dyDescent="0.2">
      <c r="A16" s="321" t="s">
        <v>517</v>
      </c>
      <c r="B16" s="322"/>
      <c r="C16" s="322"/>
      <c r="D16" s="322"/>
      <c r="E16" s="322"/>
      <c r="F16" s="322"/>
      <c r="G16" s="322"/>
      <c r="H16" s="322"/>
      <c r="I16" s="322"/>
      <c r="J16" s="323"/>
    </row>
    <row r="17" spans="1:10" ht="12.75" customHeight="1" x14ac:dyDescent="0.2">
      <c r="A17" s="324"/>
      <c r="B17" s="325"/>
      <c r="C17" s="325"/>
      <c r="D17" s="325"/>
      <c r="E17" s="325"/>
      <c r="F17" s="325"/>
      <c r="G17" s="325"/>
      <c r="H17" s="325"/>
      <c r="I17" s="325"/>
      <c r="J17" s="326"/>
    </row>
    <row r="18" spans="1:10" ht="12.75" customHeight="1" x14ac:dyDescent="0.2">
      <c r="A18" s="324"/>
      <c r="B18" s="325"/>
      <c r="C18" s="325"/>
      <c r="D18" s="325"/>
      <c r="E18" s="325"/>
      <c r="F18" s="325"/>
      <c r="G18" s="325"/>
      <c r="H18" s="325"/>
      <c r="I18" s="325"/>
      <c r="J18" s="326"/>
    </row>
    <row r="19" spans="1:10" ht="81.599999999999994" customHeight="1" x14ac:dyDescent="0.2">
      <c r="A19" s="327"/>
      <c r="B19" s="328"/>
      <c r="C19" s="328"/>
      <c r="D19" s="328"/>
      <c r="E19" s="328"/>
      <c r="F19" s="328"/>
      <c r="G19" s="328"/>
      <c r="H19" s="328"/>
      <c r="I19" s="328"/>
      <c r="J19" s="329"/>
    </row>
    <row r="20" spans="1:10" s="61" customFormat="1" ht="12.75" customHeight="1" x14ac:dyDescent="0.2">
      <c r="A20" s="348" t="s">
        <v>520</v>
      </c>
      <c r="B20" s="349"/>
      <c r="C20" s="349"/>
      <c r="D20" s="349"/>
      <c r="E20" s="349"/>
      <c r="F20" s="350"/>
      <c r="G20" s="350"/>
      <c r="H20" s="350"/>
      <c r="I20" s="350"/>
      <c r="J20" s="351"/>
    </row>
    <row r="21" spans="1:10" ht="6" customHeight="1" x14ac:dyDescent="0.2">
      <c r="A21" s="321" t="s">
        <v>548</v>
      </c>
      <c r="B21" s="322"/>
      <c r="C21" s="322"/>
      <c r="D21" s="322"/>
      <c r="E21" s="322"/>
      <c r="F21" s="322"/>
      <c r="G21" s="322"/>
      <c r="H21" s="322"/>
      <c r="I21" s="322"/>
      <c r="J21" s="323"/>
    </row>
    <row r="22" spans="1:10" ht="9" customHeight="1" x14ac:dyDescent="0.2">
      <c r="A22" s="324"/>
      <c r="B22" s="325"/>
      <c r="C22" s="325"/>
      <c r="D22" s="325"/>
      <c r="E22" s="325"/>
      <c r="F22" s="325"/>
      <c r="G22" s="325"/>
      <c r="H22" s="325"/>
      <c r="I22" s="325"/>
      <c r="J22" s="326"/>
    </row>
    <row r="23" spans="1:10" ht="12.75" customHeight="1" x14ac:dyDescent="0.2">
      <c r="A23" s="324"/>
      <c r="B23" s="325"/>
      <c r="C23" s="325"/>
      <c r="D23" s="325"/>
      <c r="E23" s="325"/>
      <c r="F23" s="325"/>
      <c r="G23" s="325"/>
      <c r="H23" s="325"/>
      <c r="I23" s="325"/>
      <c r="J23" s="326"/>
    </row>
    <row r="24" spans="1:10" ht="12.75" customHeight="1" x14ac:dyDescent="0.2">
      <c r="A24" s="324"/>
      <c r="B24" s="325"/>
      <c r="C24" s="325"/>
      <c r="D24" s="325"/>
      <c r="E24" s="325"/>
      <c r="F24" s="325"/>
      <c r="G24" s="325"/>
      <c r="H24" s="325"/>
      <c r="I24" s="325"/>
      <c r="J24" s="326"/>
    </row>
    <row r="25" spans="1:10" ht="10.15" customHeight="1" x14ac:dyDescent="0.2">
      <c r="A25" s="327"/>
      <c r="B25" s="328"/>
      <c r="C25" s="328"/>
      <c r="D25" s="328"/>
      <c r="E25" s="328"/>
      <c r="F25" s="328"/>
      <c r="G25" s="328"/>
      <c r="H25" s="328"/>
      <c r="I25" s="328"/>
      <c r="J25" s="329"/>
    </row>
    <row r="26" spans="1:10" s="61" customFormat="1" ht="12.75" customHeight="1" x14ac:dyDescent="0.2">
      <c r="A26" s="330"/>
      <c r="B26" s="331"/>
      <c r="C26" s="331"/>
      <c r="D26" s="331"/>
      <c r="E26" s="331"/>
      <c r="F26" s="331"/>
      <c r="G26" s="331"/>
      <c r="H26" s="331"/>
      <c r="I26" s="331"/>
      <c r="J26" s="332"/>
    </row>
    <row r="27" spans="1:10" s="61" customFormat="1" x14ac:dyDescent="0.2">
      <c r="A27" s="330"/>
      <c r="B27" s="331"/>
      <c r="C27" s="331"/>
      <c r="D27" s="331"/>
      <c r="E27" s="331"/>
      <c r="F27" s="331"/>
      <c r="G27" s="331"/>
      <c r="H27" s="331"/>
      <c r="I27" s="331"/>
      <c r="J27" s="332"/>
    </row>
    <row r="28" spans="1:10" s="61" customFormat="1" x14ac:dyDescent="0.2">
      <c r="A28" s="330"/>
      <c r="B28" s="331"/>
      <c r="C28" s="331"/>
      <c r="D28" s="331"/>
      <c r="E28" s="331"/>
      <c r="F28" s="331"/>
      <c r="G28" s="331"/>
      <c r="H28" s="331"/>
      <c r="I28" s="331"/>
      <c r="J28" s="332"/>
    </row>
    <row r="29" spans="1:10" s="61" customFormat="1" x14ac:dyDescent="0.2">
      <c r="A29" s="330"/>
      <c r="B29" s="331"/>
      <c r="C29" s="331"/>
      <c r="D29" s="331"/>
      <c r="E29" s="331"/>
      <c r="F29" s="331"/>
      <c r="G29" s="331"/>
      <c r="H29" s="331"/>
      <c r="I29" s="331"/>
      <c r="J29" s="332"/>
    </row>
    <row r="30" spans="1:10" s="61" customFormat="1" x14ac:dyDescent="0.2">
      <c r="A30" s="330"/>
      <c r="B30" s="331"/>
      <c r="C30" s="331"/>
      <c r="D30" s="331"/>
      <c r="E30" s="331"/>
      <c r="F30" s="331"/>
      <c r="G30" s="331"/>
      <c r="H30" s="331"/>
      <c r="I30" s="331"/>
      <c r="J30" s="332"/>
    </row>
    <row r="31" spans="1:10" s="61" customFormat="1" x14ac:dyDescent="0.2">
      <c r="A31" s="330"/>
      <c r="B31" s="331"/>
      <c r="C31" s="331"/>
      <c r="D31" s="331"/>
      <c r="E31" s="331"/>
      <c r="F31" s="331"/>
      <c r="G31" s="331"/>
      <c r="H31" s="331"/>
      <c r="I31" s="331"/>
      <c r="J31" s="332"/>
    </row>
    <row r="32" spans="1:10" s="61" customFormat="1" x14ac:dyDescent="0.2">
      <c r="A32" s="330"/>
      <c r="B32" s="331"/>
      <c r="C32" s="331"/>
      <c r="D32" s="331"/>
      <c r="E32" s="331"/>
      <c r="F32" s="331"/>
      <c r="G32" s="331"/>
      <c r="H32" s="331"/>
      <c r="I32" s="331"/>
      <c r="J32" s="332"/>
    </row>
    <row r="33" spans="1:10" s="61" customFormat="1" x14ac:dyDescent="0.2">
      <c r="A33" s="330"/>
      <c r="B33" s="331"/>
      <c r="C33" s="331"/>
      <c r="D33" s="331"/>
      <c r="E33" s="331"/>
      <c r="F33" s="331"/>
      <c r="G33" s="331"/>
      <c r="H33" s="331"/>
      <c r="I33" s="331"/>
      <c r="J33" s="332"/>
    </row>
    <row r="34" spans="1:10" s="61" customFormat="1" x14ac:dyDescent="0.2">
      <c r="A34" s="330"/>
      <c r="B34" s="331"/>
      <c r="C34" s="331"/>
      <c r="D34" s="331"/>
      <c r="E34" s="331"/>
      <c r="F34" s="331"/>
      <c r="G34" s="331"/>
      <c r="H34" s="331"/>
      <c r="I34" s="331"/>
      <c r="J34" s="332"/>
    </row>
    <row r="35" spans="1:10" s="61" customFormat="1" x14ac:dyDescent="0.2">
      <c r="A35" s="330"/>
      <c r="B35" s="331"/>
      <c r="C35" s="331"/>
      <c r="D35" s="331"/>
      <c r="E35" s="331"/>
      <c r="F35" s="331"/>
      <c r="G35" s="331"/>
      <c r="H35" s="331"/>
      <c r="I35" s="331"/>
      <c r="J35" s="332"/>
    </row>
    <row r="36" spans="1:10" s="61" customFormat="1" x14ac:dyDescent="0.2">
      <c r="A36" s="330"/>
      <c r="B36" s="331"/>
      <c r="C36" s="331"/>
      <c r="D36" s="331"/>
      <c r="E36" s="331"/>
      <c r="F36" s="331"/>
      <c r="G36" s="331"/>
      <c r="H36" s="331"/>
      <c r="I36" s="331"/>
      <c r="J36" s="332"/>
    </row>
    <row r="37" spans="1:10" s="61" customFormat="1" x14ac:dyDescent="0.2">
      <c r="A37" s="330"/>
      <c r="B37" s="331"/>
      <c r="C37" s="331"/>
      <c r="D37" s="331"/>
      <c r="E37" s="331"/>
      <c r="F37" s="331"/>
      <c r="G37" s="331"/>
      <c r="H37" s="331"/>
      <c r="I37" s="331"/>
      <c r="J37" s="332"/>
    </row>
    <row r="38" spans="1:10" s="61" customFormat="1" x14ac:dyDescent="0.2">
      <c r="A38" s="330"/>
      <c r="B38" s="331"/>
      <c r="C38" s="331"/>
      <c r="D38" s="331"/>
      <c r="E38" s="331"/>
      <c r="F38" s="331"/>
      <c r="G38" s="331"/>
      <c r="H38" s="331"/>
      <c r="I38" s="331"/>
      <c r="J38" s="332"/>
    </row>
    <row r="39" spans="1:10" s="61" customFormat="1" x14ac:dyDescent="0.2">
      <c r="A39" s="330"/>
      <c r="B39" s="331"/>
      <c r="C39" s="331"/>
      <c r="D39" s="331"/>
      <c r="E39" s="331"/>
      <c r="F39" s="331"/>
      <c r="G39" s="331"/>
      <c r="H39" s="331"/>
      <c r="I39" s="331"/>
      <c r="J39" s="332"/>
    </row>
    <row r="40" spans="1:10" s="61" customFormat="1" x14ac:dyDescent="0.2">
      <c r="A40" s="330"/>
      <c r="B40" s="331"/>
      <c r="C40" s="331"/>
      <c r="D40" s="331"/>
      <c r="E40" s="331"/>
      <c r="F40" s="331"/>
      <c r="G40" s="331"/>
      <c r="H40" s="331"/>
      <c r="I40" s="331"/>
      <c r="J40" s="332"/>
    </row>
    <row r="41" spans="1:10" s="61" customFormat="1" x14ac:dyDescent="0.2">
      <c r="A41" s="330"/>
      <c r="B41" s="331"/>
      <c r="C41" s="331"/>
      <c r="D41" s="331"/>
      <c r="E41" s="331"/>
      <c r="F41" s="331"/>
      <c r="G41" s="331"/>
      <c r="H41" s="331"/>
      <c r="I41" s="331"/>
      <c r="J41" s="332"/>
    </row>
    <row r="42" spans="1:10" s="61" customFormat="1" x14ac:dyDescent="0.2">
      <c r="A42" s="330"/>
      <c r="B42" s="331"/>
      <c r="C42" s="331"/>
      <c r="D42" s="331"/>
      <c r="E42" s="331"/>
      <c r="F42" s="331"/>
      <c r="G42" s="331"/>
      <c r="H42" s="331"/>
      <c r="I42" s="331"/>
      <c r="J42" s="332"/>
    </row>
    <row r="43" spans="1:10" s="61" customFormat="1" x14ac:dyDescent="0.2">
      <c r="A43" s="330"/>
      <c r="B43" s="331"/>
      <c r="C43" s="331"/>
      <c r="D43" s="331"/>
      <c r="E43" s="331"/>
      <c r="F43" s="331"/>
      <c r="G43" s="331"/>
      <c r="H43" s="331"/>
      <c r="I43" s="331"/>
      <c r="J43" s="332"/>
    </row>
    <row r="44" spans="1:10" s="61" customFormat="1" x14ac:dyDescent="0.2">
      <c r="A44" s="330"/>
      <c r="B44" s="331"/>
      <c r="C44" s="331"/>
      <c r="D44" s="331"/>
      <c r="E44" s="331"/>
      <c r="F44" s="331"/>
      <c r="G44" s="331"/>
      <c r="H44" s="331"/>
      <c r="I44" s="331"/>
      <c r="J44" s="332"/>
    </row>
    <row r="45" spans="1:10" s="61" customFormat="1" x14ac:dyDescent="0.2">
      <c r="A45" s="330"/>
      <c r="B45" s="331"/>
      <c r="C45" s="331"/>
      <c r="D45" s="331"/>
      <c r="E45" s="331"/>
      <c r="F45" s="331"/>
      <c r="G45" s="331"/>
      <c r="H45" s="331"/>
      <c r="I45" s="331"/>
      <c r="J45" s="332"/>
    </row>
    <row r="46" spans="1:10" s="61" customFormat="1" x14ac:dyDescent="0.2">
      <c r="A46" s="55"/>
      <c r="B46" s="56"/>
      <c r="C46" s="57"/>
      <c r="D46" s="58"/>
      <c r="E46" s="58"/>
      <c r="F46" s="58"/>
      <c r="G46" s="58"/>
      <c r="H46" s="59"/>
      <c r="I46" s="57"/>
      <c r="J46" s="60"/>
    </row>
    <row r="47" spans="1:10" x14ac:dyDescent="0.2">
      <c r="A47" s="333" t="s">
        <v>521</v>
      </c>
      <c r="B47" s="334"/>
      <c r="C47" s="334"/>
      <c r="D47" s="334"/>
      <c r="E47" s="334"/>
      <c r="F47" s="334"/>
      <c r="G47" s="334"/>
      <c r="H47" s="334"/>
      <c r="I47" s="334"/>
      <c r="J47" s="335"/>
    </row>
    <row r="48" spans="1:10" x14ac:dyDescent="0.2">
      <c r="A48" s="336"/>
      <c r="B48" s="337"/>
      <c r="C48" s="337"/>
      <c r="D48" s="337"/>
      <c r="E48" s="337"/>
      <c r="F48" s="337"/>
      <c r="G48" s="337"/>
      <c r="H48" s="337"/>
      <c r="I48" s="337"/>
      <c r="J48" s="338"/>
    </row>
    <row r="49" spans="1:10" ht="12.75" customHeight="1" x14ac:dyDescent="0.2">
      <c r="A49" s="321" t="s">
        <v>549</v>
      </c>
      <c r="B49" s="322"/>
      <c r="C49" s="322"/>
      <c r="D49" s="322"/>
      <c r="E49" s="322"/>
      <c r="F49" s="322"/>
      <c r="G49" s="322"/>
      <c r="H49" s="322"/>
      <c r="I49" s="322"/>
      <c r="J49" s="323"/>
    </row>
    <row r="50" spans="1:10" ht="12.75" customHeight="1" x14ac:dyDescent="0.2">
      <c r="A50" s="324"/>
      <c r="B50" s="325"/>
      <c r="C50" s="325"/>
      <c r="D50" s="325"/>
      <c r="E50" s="325"/>
      <c r="F50" s="325"/>
      <c r="G50" s="325"/>
      <c r="H50" s="325"/>
      <c r="I50" s="325"/>
      <c r="J50" s="326"/>
    </row>
    <row r="51" spans="1:10" ht="12.75" customHeight="1" x14ac:dyDescent="0.2">
      <c r="A51" s="324"/>
      <c r="B51" s="325"/>
      <c r="C51" s="325"/>
      <c r="D51" s="325"/>
      <c r="E51" s="325"/>
      <c r="F51" s="325"/>
      <c r="G51" s="325"/>
      <c r="H51" s="325"/>
      <c r="I51" s="325"/>
      <c r="J51" s="326"/>
    </row>
    <row r="52" spans="1:10" ht="93" customHeight="1" x14ac:dyDescent="0.2">
      <c r="A52" s="327"/>
      <c r="B52" s="328"/>
      <c r="C52" s="328"/>
      <c r="D52" s="328"/>
      <c r="E52" s="328"/>
      <c r="F52" s="328"/>
      <c r="G52" s="328"/>
      <c r="H52" s="328"/>
      <c r="I52" s="328"/>
      <c r="J52" s="329"/>
    </row>
    <row r="53" spans="1:10" s="61" customFormat="1" ht="12.75" customHeight="1" x14ac:dyDescent="0.2">
      <c r="A53" s="348" t="s">
        <v>522</v>
      </c>
      <c r="B53" s="349"/>
      <c r="C53" s="349"/>
      <c r="D53" s="349"/>
      <c r="E53" s="349"/>
      <c r="F53" s="350"/>
      <c r="G53" s="350"/>
      <c r="H53" s="350"/>
      <c r="I53" s="350"/>
      <c r="J53" s="351"/>
    </row>
    <row r="54" spans="1:10" ht="12.75" customHeight="1" x14ac:dyDescent="0.2">
      <c r="A54" s="321" t="s">
        <v>524</v>
      </c>
      <c r="B54" s="322"/>
      <c r="C54" s="322"/>
      <c r="D54" s="322"/>
      <c r="E54" s="322"/>
      <c r="F54" s="322"/>
      <c r="G54" s="322"/>
      <c r="H54" s="322"/>
      <c r="I54" s="322"/>
      <c r="J54" s="323"/>
    </row>
    <row r="55" spans="1:10" ht="12.75" customHeight="1" x14ac:dyDescent="0.2">
      <c r="A55" s="324"/>
      <c r="B55" s="325"/>
      <c r="C55" s="325"/>
      <c r="D55" s="325"/>
      <c r="E55" s="325"/>
      <c r="F55" s="325"/>
      <c r="G55" s="325"/>
      <c r="H55" s="325"/>
      <c r="I55" s="325"/>
      <c r="J55" s="326"/>
    </row>
    <row r="56" spans="1:10" ht="12.75" customHeight="1" x14ac:dyDescent="0.2">
      <c r="A56" s="324"/>
      <c r="B56" s="325"/>
      <c r="C56" s="325"/>
      <c r="D56" s="325"/>
      <c r="E56" s="325"/>
      <c r="F56" s="325"/>
      <c r="G56" s="325"/>
      <c r="H56" s="325"/>
      <c r="I56" s="325"/>
      <c r="J56" s="326"/>
    </row>
    <row r="57" spans="1:10" ht="12.75" customHeight="1" x14ac:dyDescent="0.2">
      <c r="A57" s="324"/>
      <c r="B57" s="325"/>
      <c r="C57" s="325"/>
      <c r="D57" s="325"/>
      <c r="E57" s="325"/>
      <c r="F57" s="325"/>
      <c r="G57" s="325"/>
      <c r="H57" s="325"/>
      <c r="I57" s="325"/>
      <c r="J57" s="326"/>
    </row>
    <row r="58" spans="1:10" ht="15" customHeight="1" x14ac:dyDescent="0.2">
      <c r="A58" s="327"/>
      <c r="B58" s="328"/>
      <c r="C58" s="328"/>
      <c r="D58" s="328"/>
      <c r="E58" s="328"/>
      <c r="F58" s="328"/>
      <c r="G58" s="328"/>
      <c r="H58" s="328"/>
      <c r="I58" s="328"/>
      <c r="J58" s="329"/>
    </row>
    <row r="59" spans="1:10" s="61" customFormat="1" ht="12.75" customHeight="1" x14ac:dyDescent="0.2">
      <c r="A59" s="330"/>
      <c r="B59" s="331"/>
      <c r="C59" s="331"/>
      <c r="D59" s="331"/>
      <c r="E59" s="331"/>
      <c r="F59" s="331"/>
      <c r="G59" s="331"/>
      <c r="H59" s="331"/>
      <c r="I59" s="331"/>
      <c r="J59" s="332"/>
    </row>
    <row r="60" spans="1:10" s="61" customFormat="1" x14ac:dyDescent="0.2">
      <c r="A60" s="330"/>
      <c r="B60" s="331"/>
      <c r="C60" s="331"/>
      <c r="D60" s="331"/>
      <c r="E60" s="331"/>
      <c r="F60" s="331"/>
      <c r="G60" s="331"/>
      <c r="H60" s="331"/>
      <c r="I60" s="331"/>
      <c r="J60" s="332"/>
    </row>
    <row r="61" spans="1:10" s="61" customFormat="1" x14ac:dyDescent="0.2">
      <c r="A61" s="330"/>
      <c r="B61" s="331"/>
      <c r="C61" s="331"/>
      <c r="D61" s="331"/>
      <c r="E61" s="331"/>
      <c r="F61" s="331"/>
      <c r="G61" s="331"/>
      <c r="H61" s="331"/>
      <c r="I61" s="331"/>
      <c r="J61" s="332"/>
    </row>
    <row r="62" spans="1:10" s="61" customFormat="1" x14ac:dyDescent="0.2">
      <c r="A62" s="330"/>
      <c r="B62" s="331"/>
      <c r="C62" s="331"/>
      <c r="D62" s="331"/>
      <c r="E62" s="331"/>
      <c r="F62" s="331"/>
      <c r="G62" s="331"/>
      <c r="H62" s="331"/>
      <c r="I62" s="331"/>
      <c r="J62" s="332"/>
    </row>
    <row r="63" spans="1:10" s="61" customFormat="1" x14ac:dyDescent="0.2">
      <c r="A63" s="330"/>
      <c r="B63" s="331"/>
      <c r="C63" s="331"/>
      <c r="D63" s="331"/>
      <c r="E63" s="331"/>
      <c r="F63" s="331"/>
      <c r="G63" s="331"/>
      <c r="H63" s="331"/>
      <c r="I63" s="331"/>
      <c r="J63" s="332"/>
    </row>
    <row r="64" spans="1:10" s="61" customFormat="1" x14ac:dyDescent="0.2">
      <c r="A64" s="330"/>
      <c r="B64" s="331"/>
      <c r="C64" s="331"/>
      <c r="D64" s="331"/>
      <c r="E64" s="331"/>
      <c r="F64" s="331"/>
      <c r="G64" s="331"/>
      <c r="H64" s="331"/>
      <c r="I64" s="331"/>
      <c r="J64" s="332"/>
    </row>
    <row r="65" spans="1:10" s="61" customFormat="1" x14ac:dyDescent="0.2">
      <c r="A65" s="330"/>
      <c r="B65" s="331"/>
      <c r="C65" s="331"/>
      <c r="D65" s="331"/>
      <c r="E65" s="331"/>
      <c r="F65" s="331"/>
      <c r="G65" s="331"/>
      <c r="H65" s="331"/>
      <c r="I65" s="331"/>
      <c r="J65" s="332"/>
    </row>
    <row r="66" spans="1:10" s="61" customFormat="1" x14ac:dyDescent="0.2">
      <c r="A66" s="330"/>
      <c r="B66" s="331"/>
      <c r="C66" s="331"/>
      <c r="D66" s="331"/>
      <c r="E66" s="331"/>
      <c r="F66" s="331"/>
      <c r="G66" s="331"/>
      <c r="H66" s="331"/>
      <c r="I66" s="331"/>
      <c r="J66" s="332"/>
    </row>
    <row r="67" spans="1:10" s="61" customFormat="1" x14ac:dyDescent="0.2">
      <c r="A67" s="330"/>
      <c r="B67" s="331"/>
      <c r="C67" s="331"/>
      <c r="D67" s="331"/>
      <c r="E67" s="331"/>
      <c r="F67" s="331"/>
      <c r="G67" s="331"/>
      <c r="H67" s="331"/>
      <c r="I67" s="331"/>
      <c r="J67" s="332"/>
    </row>
    <row r="68" spans="1:10" s="61" customFormat="1" x14ac:dyDescent="0.2">
      <c r="A68" s="330"/>
      <c r="B68" s="331"/>
      <c r="C68" s="331"/>
      <c r="D68" s="331"/>
      <c r="E68" s="331"/>
      <c r="F68" s="331"/>
      <c r="G68" s="331"/>
      <c r="H68" s="331"/>
      <c r="I68" s="331"/>
      <c r="J68" s="332"/>
    </row>
    <row r="69" spans="1:10" s="61" customFormat="1" x14ac:dyDescent="0.2">
      <c r="A69" s="330"/>
      <c r="B69" s="331"/>
      <c r="C69" s="331"/>
      <c r="D69" s="331"/>
      <c r="E69" s="331"/>
      <c r="F69" s="331"/>
      <c r="G69" s="331"/>
      <c r="H69" s="331"/>
      <c r="I69" s="331"/>
      <c r="J69" s="332"/>
    </row>
    <row r="70" spans="1:10" s="61" customFormat="1" x14ac:dyDescent="0.2">
      <c r="A70" s="330"/>
      <c r="B70" s="331"/>
      <c r="C70" s="331"/>
      <c r="D70" s="331"/>
      <c r="E70" s="331"/>
      <c r="F70" s="331"/>
      <c r="G70" s="331"/>
      <c r="H70" s="331"/>
      <c r="I70" s="331"/>
      <c r="J70" s="332"/>
    </row>
    <row r="71" spans="1:10" s="61" customFormat="1" x14ac:dyDescent="0.2">
      <c r="A71" s="330"/>
      <c r="B71" s="331"/>
      <c r="C71" s="331"/>
      <c r="D71" s="331"/>
      <c r="E71" s="331"/>
      <c r="F71" s="331"/>
      <c r="G71" s="331"/>
      <c r="H71" s="331"/>
      <c r="I71" s="331"/>
      <c r="J71" s="332"/>
    </row>
    <row r="72" spans="1:10" s="61" customFormat="1" x14ac:dyDescent="0.2">
      <c r="A72" s="330"/>
      <c r="B72" s="331"/>
      <c r="C72" s="331"/>
      <c r="D72" s="331"/>
      <c r="E72" s="331"/>
      <c r="F72" s="331"/>
      <c r="G72" s="331"/>
      <c r="H72" s="331"/>
      <c r="I72" s="331"/>
      <c r="J72" s="332"/>
    </row>
    <row r="73" spans="1:10" s="61" customFormat="1" x14ac:dyDescent="0.2">
      <c r="A73" s="330"/>
      <c r="B73" s="331"/>
      <c r="C73" s="331"/>
      <c r="D73" s="331"/>
      <c r="E73" s="331"/>
      <c r="F73" s="331"/>
      <c r="G73" s="331"/>
      <c r="H73" s="331"/>
      <c r="I73" s="331"/>
      <c r="J73" s="332"/>
    </row>
    <row r="74" spans="1:10" s="61" customFormat="1" x14ac:dyDescent="0.2">
      <c r="A74" s="330"/>
      <c r="B74" s="331"/>
      <c r="C74" s="331"/>
      <c r="D74" s="331"/>
      <c r="E74" s="331"/>
      <c r="F74" s="331"/>
      <c r="G74" s="331"/>
      <c r="H74" s="331"/>
      <c r="I74" s="331"/>
      <c r="J74" s="332"/>
    </row>
    <row r="75" spans="1:10" s="61" customFormat="1" x14ac:dyDescent="0.2">
      <c r="A75" s="330"/>
      <c r="B75" s="331"/>
      <c r="C75" s="331"/>
      <c r="D75" s="331"/>
      <c r="E75" s="331"/>
      <c r="F75" s="331"/>
      <c r="G75" s="331"/>
      <c r="H75" s="331"/>
      <c r="I75" s="331"/>
      <c r="J75" s="332"/>
    </row>
    <row r="76" spans="1:10" s="61" customFormat="1" x14ac:dyDescent="0.2">
      <c r="A76" s="330"/>
      <c r="B76" s="331"/>
      <c r="C76" s="331"/>
      <c r="D76" s="331"/>
      <c r="E76" s="331"/>
      <c r="F76" s="331"/>
      <c r="G76" s="331"/>
      <c r="H76" s="331"/>
      <c r="I76" s="331"/>
      <c r="J76" s="332"/>
    </row>
    <row r="77" spans="1:10" s="61" customFormat="1" x14ac:dyDescent="0.2">
      <c r="A77" s="330"/>
      <c r="B77" s="331"/>
      <c r="C77" s="331"/>
      <c r="D77" s="331"/>
      <c r="E77" s="331"/>
      <c r="F77" s="331"/>
      <c r="G77" s="331"/>
      <c r="H77" s="331"/>
      <c r="I77" s="331"/>
      <c r="J77" s="332"/>
    </row>
    <row r="78" spans="1:10" s="61" customFormat="1" x14ac:dyDescent="0.2">
      <c r="A78" s="330"/>
      <c r="B78" s="331"/>
      <c r="C78" s="331"/>
      <c r="D78" s="331"/>
      <c r="E78" s="331"/>
      <c r="F78" s="331"/>
      <c r="G78" s="331"/>
      <c r="H78" s="331"/>
      <c r="I78" s="331"/>
      <c r="J78" s="332"/>
    </row>
    <row r="79" spans="1:10" s="61" customFormat="1" x14ac:dyDescent="0.2">
      <c r="A79" s="55"/>
      <c r="B79" s="56"/>
      <c r="C79" s="57"/>
      <c r="D79" s="58"/>
      <c r="E79" s="58"/>
      <c r="F79" s="58"/>
      <c r="G79" s="58"/>
      <c r="H79" s="59"/>
      <c r="I79" s="57"/>
      <c r="J79" s="60"/>
    </row>
    <row r="80" spans="1:10" x14ac:dyDescent="0.2">
      <c r="A80" s="333" t="s">
        <v>525</v>
      </c>
      <c r="B80" s="334"/>
      <c r="C80" s="334"/>
      <c r="D80" s="334"/>
      <c r="E80" s="334"/>
      <c r="F80" s="334"/>
      <c r="G80" s="334"/>
      <c r="H80" s="334"/>
      <c r="I80" s="334"/>
      <c r="J80" s="335"/>
    </row>
    <row r="81" spans="1:10" x14ac:dyDescent="0.2">
      <c r="A81" s="336"/>
      <c r="B81" s="337"/>
      <c r="C81" s="337"/>
      <c r="D81" s="337"/>
      <c r="E81" s="337"/>
      <c r="F81" s="337"/>
      <c r="G81" s="337"/>
      <c r="H81" s="337"/>
      <c r="I81" s="337"/>
      <c r="J81" s="338"/>
    </row>
    <row r="82" spans="1:10" ht="12.75" customHeight="1" x14ac:dyDescent="0.2">
      <c r="A82" s="339" t="s">
        <v>559</v>
      </c>
      <c r="B82" s="340"/>
      <c r="C82" s="340"/>
      <c r="D82" s="340"/>
      <c r="E82" s="340"/>
      <c r="F82" s="340"/>
      <c r="G82" s="340"/>
      <c r="H82" s="340"/>
      <c r="I82" s="340"/>
      <c r="J82" s="341"/>
    </row>
    <row r="83" spans="1:10" ht="12.75" customHeight="1" x14ac:dyDescent="0.2">
      <c r="A83" s="342"/>
      <c r="B83" s="343"/>
      <c r="C83" s="343"/>
      <c r="D83" s="343"/>
      <c r="E83" s="343"/>
      <c r="F83" s="343"/>
      <c r="G83" s="343"/>
      <c r="H83" s="343"/>
      <c r="I83" s="343"/>
      <c r="J83" s="344"/>
    </row>
    <row r="84" spans="1:10" ht="12.75" customHeight="1" x14ac:dyDescent="0.2">
      <c r="A84" s="342"/>
      <c r="B84" s="343"/>
      <c r="C84" s="343"/>
      <c r="D84" s="343"/>
      <c r="E84" s="343"/>
      <c r="F84" s="343"/>
      <c r="G84" s="343"/>
      <c r="H84" s="343"/>
      <c r="I84" s="343"/>
      <c r="J84" s="344"/>
    </row>
    <row r="85" spans="1:10" ht="12.75" customHeight="1" x14ac:dyDescent="0.2">
      <c r="A85" s="342"/>
      <c r="B85" s="343"/>
      <c r="C85" s="343"/>
      <c r="D85" s="343"/>
      <c r="E85" s="343"/>
      <c r="F85" s="343"/>
      <c r="G85" s="343"/>
      <c r="H85" s="343"/>
      <c r="I85" s="343"/>
      <c r="J85" s="344"/>
    </row>
    <row r="86" spans="1:10" ht="12.75" customHeight="1" x14ac:dyDescent="0.2">
      <c r="A86" s="342"/>
      <c r="B86" s="343"/>
      <c r="C86" s="343"/>
      <c r="D86" s="343"/>
      <c r="E86" s="343"/>
      <c r="F86" s="343"/>
      <c r="G86" s="343"/>
      <c r="H86" s="343"/>
      <c r="I86" s="343"/>
      <c r="J86" s="344"/>
    </row>
    <row r="87" spans="1:10" ht="73.900000000000006" customHeight="1" x14ac:dyDescent="0.2">
      <c r="A87" s="345"/>
      <c r="B87" s="346"/>
      <c r="C87" s="346"/>
      <c r="D87" s="346"/>
      <c r="E87" s="346"/>
      <c r="F87" s="346"/>
      <c r="G87" s="346"/>
      <c r="H87" s="346"/>
      <c r="I87" s="346"/>
      <c r="J87" s="347"/>
    </row>
    <row r="88" spans="1:10" s="61" customFormat="1" ht="12.75" customHeight="1" x14ac:dyDescent="0.2">
      <c r="A88" s="348" t="s">
        <v>523</v>
      </c>
      <c r="B88" s="349"/>
      <c r="C88" s="349"/>
      <c r="D88" s="349"/>
      <c r="E88" s="349"/>
      <c r="F88" s="350"/>
      <c r="G88" s="350"/>
      <c r="H88" s="350"/>
      <c r="I88" s="350"/>
      <c r="J88" s="351"/>
    </row>
    <row r="89" spans="1:10" ht="12.75" customHeight="1" x14ac:dyDescent="0.2">
      <c r="A89" s="321" t="s">
        <v>342</v>
      </c>
      <c r="B89" s="322"/>
      <c r="C89" s="322"/>
      <c r="D89" s="322"/>
      <c r="E89" s="322"/>
      <c r="F89" s="322"/>
      <c r="G89" s="322"/>
      <c r="H89" s="322"/>
      <c r="I89" s="322"/>
      <c r="J89" s="323"/>
    </row>
    <row r="90" spans="1:10" ht="12.75" customHeight="1" x14ac:dyDescent="0.2">
      <c r="A90" s="324"/>
      <c r="B90" s="325"/>
      <c r="C90" s="325"/>
      <c r="D90" s="325"/>
      <c r="E90" s="325"/>
      <c r="F90" s="325"/>
      <c r="G90" s="325"/>
      <c r="H90" s="325"/>
      <c r="I90" s="325"/>
      <c r="J90" s="326"/>
    </row>
    <row r="91" spans="1:10" ht="12.75" customHeight="1" x14ac:dyDescent="0.2">
      <c r="A91" s="324"/>
      <c r="B91" s="325"/>
      <c r="C91" s="325"/>
      <c r="D91" s="325"/>
      <c r="E91" s="325"/>
      <c r="F91" s="325"/>
      <c r="G91" s="325"/>
      <c r="H91" s="325"/>
      <c r="I91" s="325"/>
      <c r="J91" s="326"/>
    </row>
    <row r="92" spans="1:10" s="61" customFormat="1" ht="12.75" customHeight="1" x14ac:dyDescent="0.2">
      <c r="A92" s="330"/>
      <c r="B92" s="331"/>
      <c r="C92" s="331"/>
      <c r="D92" s="331"/>
      <c r="E92" s="331"/>
      <c r="F92" s="331"/>
      <c r="G92" s="331"/>
      <c r="H92" s="331"/>
      <c r="I92" s="331"/>
      <c r="J92" s="332"/>
    </row>
    <row r="93" spans="1:10" s="61" customFormat="1" x14ac:dyDescent="0.2">
      <c r="A93" s="330"/>
      <c r="B93" s="331"/>
      <c r="C93" s="331"/>
      <c r="D93" s="331"/>
      <c r="E93" s="331"/>
      <c r="F93" s="331"/>
      <c r="G93" s="331"/>
      <c r="H93" s="331"/>
      <c r="I93" s="331"/>
      <c r="J93" s="332"/>
    </row>
    <row r="94" spans="1:10" s="61" customFormat="1" x14ac:dyDescent="0.2">
      <c r="A94" s="330"/>
      <c r="B94" s="331"/>
      <c r="C94" s="331"/>
      <c r="D94" s="331"/>
      <c r="E94" s="331"/>
      <c r="F94" s="331"/>
      <c r="G94" s="331"/>
      <c r="H94" s="331"/>
      <c r="I94" s="331"/>
      <c r="J94" s="332"/>
    </row>
    <row r="95" spans="1:10" s="61" customFormat="1" x14ac:dyDescent="0.2">
      <c r="A95" s="330"/>
      <c r="B95" s="331"/>
      <c r="C95" s="331"/>
      <c r="D95" s="331"/>
      <c r="E95" s="331"/>
      <c r="F95" s="331"/>
      <c r="G95" s="331"/>
      <c r="H95" s="331"/>
      <c r="I95" s="331"/>
      <c r="J95" s="332"/>
    </row>
    <row r="96" spans="1:10" s="61" customFormat="1" x14ac:dyDescent="0.2">
      <c r="A96" s="330"/>
      <c r="B96" s="331"/>
      <c r="C96" s="331"/>
      <c r="D96" s="331"/>
      <c r="E96" s="331"/>
      <c r="F96" s="331"/>
      <c r="G96" s="331"/>
      <c r="H96" s="331"/>
      <c r="I96" s="331"/>
      <c r="J96" s="332"/>
    </row>
    <row r="97" spans="1:10" s="61" customFormat="1" x14ac:dyDescent="0.2">
      <c r="A97" s="330"/>
      <c r="B97" s="331"/>
      <c r="C97" s="331"/>
      <c r="D97" s="331"/>
      <c r="E97" s="331"/>
      <c r="F97" s="331"/>
      <c r="G97" s="331"/>
      <c r="H97" s="331"/>
      <c r="I97" s="331"/>
      <c r="J97" s="332"/>
    </row>
    <row r="98" spans="1:10" s="61" customFormat="1" x14ac:dyDescent="0.2">
      <c r="A98" s="330"/>
      <c r="B98" s="331"/>
      <c r="C98" s="331"/>
      <c r="D98" s="331"/>
      <c r="E98" s="331"/>
      <c r="F98" s="331"/>
      <c r="G98" s="331"/>
      <c r="H98" s="331"/>
      <c r="I98" s="331"/>
      <c r="J98" s="332"/>
    </row>
    <row r="99" spans="1:10" s="61" customFormat="1" x14ac:dyDescent="0.2">
      <c r="A99" s="330"/>
      <c r="B99" s="331"/>
      <c r="C99" s="331"/>
      <c r="D99" s="331"/>
      <c r="E99" s="331"/>
      <c r="F99" s="331"/>
      <c r="G99" s="331"/>
      <c r="H99" s="331"/>
      <c r="I99" s="331"/>
      <c r="J99" s="332"/>
    </row>
    <row r="100" spans="1:10" s="61" customFormat="1" x14ac:dyDescent="0.2">
      <c r="A100" s="330"/>
      <c r="B100" s="331"/>
      <c r="C100" s="331"/>
      <c r="D100" s="331"/>
      <c r="E100" s="331"/>
      <c r="F100" s="331"/>
      <c r="G100" s="331"/>
      <c r="H100" s="331"/>
      <c r="I100" s="331"/>
      <c r="J100" s="332"/>
    </row>
    <row r="101" spans="1:10" s="61" customFormat="1" x14ac:dyDescent="0.2">
      <c r="A101" s="330"/>
      <c r="B101" s="331"/>
      <c r="C101" s="331"/>
      <c r="D101" s="331"/>
      <c r="E101" s="331"/>
      <c r="F101" s="331"/>
      <c r="G101" s="331"/>
      <c r="H101" s="331"/>
      <c r="I101" s="331"/>
      <c r="J101" s="332"/>
    </row>
    <row r="102" spans="1:10" s="61" customFormat="1" x14ac:dyDescent="0.2">
      <c r="A102" s="330"/>
      <c r="B102" s="331"/>
      <c r="C102" s="331"/>
      <c r="D102" s="331"/>
      <c r="E102" s="331"/>
      <c r="F102" s="331"/>
      <c r="G102" s="331"/>
      <c r="H102" s="331"/>
      <c r="I102" s="331"/>
      <c r="J102" s="332"/>
    </row>
    <row r="103" spans="1:10" s="61" customFormat="1" x14ac:dyDescent="0.2">
      <c r="A103" s="330"/>
      <c r="B103" s="331"/>
      <c r="C103" s="331"/>
      <c r="D103" s="331"/>
      <c r="E103" s="331"/>
      <c r="F103" s="331"/>
      <c r="G103" s="331"/>
      <c r="H103" s="331"/>
      <c r="I103" s="331"/>
      <c r="J103" s="332"/>
    </row>
    <row r="104" spans="1:10" s="61" customFormat="1" x14ac:dyDescent="0.2">
      <c r="A104" s="330"/>
      <c r="B104" s="331"/>
      <c r="C104" s="331"/>
      <c r="D104" s="331"/>
      <c r="E104" s="331"/>
      <c r="F104" s="331"/>
      <c r="G104" s="331"/>
      <c r="H104" s="331"/>
      <c r="I104" s="331"/>
      <c r="J104" s="332"/>
    </row>
    <row r="105" spans="1:10" s="61" customFormat="1" x14ac:dyDescent="0.2">
      <c r="A105" s="330"/>
      <c r="B105" s="331"/>
      <c r="C105" s="331"/>
      <c r="D105" s="331"/>
      <c r="E105" s="331"/>
      <c r="F105" s="331"/>
      <c r="G105" s="331"/>
      <c r="H105" s="331"/>
      <c r="I105" s="331"/>
      <c r="J105" s="332"/>
    </row>
    <row r="106" spans="1:10" s="61" customFormat="1" x14ac:dyDescent="0.2">
      <c r="A106" s="330"/>
      <c r="B106" s="331"/>
      <c r="C106" s="331"/>
      <c r="D106" s="331"/>
      <c r="E106" s="331"/>
      <c r="F106" s="331"/>
      <c r="G106" s="331"/>
      <c r="H106" s="331"/>
      <c r="I106" s="331"/>
      <c r="J106" s="332"/>
    </row>
    <row r="107" spans="1:10" s="61" customFormat="1" x14ac:dyDescent="0.2">
      <c r="A107" s="330"/>
      <c r="B107" s="331"/>
      <c r="C107" s="331"/>
      <c r="D107" s="331"/>
      <c r="E107" s="331"/>
      <c r="F107" s="331"/>
      <c r="G107" s="331"/>
      <c r="H107" s="331"/>
      <c r="I107" s="331"/>
      <c r="J107" s="332"/>
    </row>
    <row r="108" spans="1:10" s="61" customFormat="1" x14ac:dyDescent="0.2">
      <c r="A108" s="330"/>
      <c r="B108" s="331"/>
      <c r="C108" s="331"/>
      <c r="D108" s="331"/>
      <c r="E108" s="331"/>
      <c r="F108" s="331"/>
      <c r="G108" s="331"/>
      <c r="H108" s="331"/>
      <c r="I108" s="331"/>
      <c r="J108" s="332"/>
    </row>
    <row r="109" spans="1:10" s="61" customFormat="1" x14ac:dyDescent="0.2">
      <c r="A109" s="330"/>
      <c r="B109" s="331"/>
      <c r="C109" s="331"/>
      <c r="D109" s="331"/>
      <c r="E109" s="331"/>
      <c r="F109" s="331"/>
      <c r="G109" s="331"/>
      <c r="H109" s="331"/>
      <c r="I109" s="331"/>
      <c r="J109" s="332"/>
    </row>
    <row r="110" spans="1:10" s="61" customFormat="1" x14ac:dyDescent="0.2">
      <c r="A110" s="330"/>
      <c r="B110" s="331"/>
      <c r="C110" s="331"/>
      <c r="D110" s="331"/>
      <c r="E110" s="331"/>
      <c r="F110" s="331"/>
      <c r="G110" s="331"/>
      <c r="H110" s="331"/>
      <c r="I110" s="331"/>
      <c r="J110" s="332"/>
    </row>
    <row r="111" spans="1:10" s="61" customFormat="1" x14ac:dyDescent="0.2">
      <c r="A111" s="330"/>
      <c r="B111" s="331"/>
      <c r="C111" s="331"/>
      <c r="D111" s="331"/>
      <c r="E111" s="331"/>
      <c r="F111" s="331"/>
      <c r="G111" s="331"/>
      <c r="H111" s="331"/>
      <c r="I111" s="331"/>
      <c r="J111" s="332"/>
    </row>
    <row r="112" spans="1:10" s="61" customFormat="1" x14ac:dyDescent="0.2">
      <c r="A112" s="55"/>
      <c r="B112" s="56"/>
      <c r="C112" s="57"/>
      <c r="D112" s="58"/>
      <c r="E112" s="58"/>
      <c r="F112" s="58"/>
      <c r="G112" s="58"/>
      <c r="H112" s="59"/>
      <c r="I112" s="57"/>
      <c r="J112" s="60"/>
    </row>
    <row r="113" spans="1:10" ht="12.75" customHeight="1" x14ac:dyDescent="0.2">
      <c r="A113" s="333" t="s">
        <v>526</v>
      </c>
      <c r="B113" s="334"/>
      <c r="C113" s="334"/>
      <c r="D113" s="334"/>
      <c r="E113" s="334"/>
      <c r="F113" s="334"/>
      <c r="G113" s="334"/>
      <c r="H113" s="334"/>
      <c r="I113" s="334"/>
      <c r="J113" s="335"/>
    </row>
    <row r="114" spans="1:10" x14ac:dyDescent="0.2">
      <c r="A114" s="336"/>
      <c r="B114" s="337"/>
      <c r="C114" s="337"/>
      <c r="D114" s="337"/>
      <c r="E114" s="337"/>
      <c r="F114" s="337"/>
      <c r="G114" s="337"/>
      <c r="H114" s="337"/>
      <c r="I114" s="337"/>
      <c r="J114" s="338"/>
    </row>
    <row r="115" spans="1:10" ht="12.75" customHeight="1" x14ac:dyDescent="0.2">
      <c r="A115" s="321" t="s">
        <v>527</v>
      </c>
      <c r="B115" s="322"/>
      <c r="C115" s="322"/>
      <c r="D115" s="322"/>
      <c r="E115" s="322"/>
      <c r="F115" s="322"/>
      <c r="G115" s="322"/>
      <c r="H115" s="322"/>
      <c r="I115" s="322"/>
      <c r="J115" s="323"/>
    </row>
    <row r="116" spans="1:10" ht="12.75" customHeight="1" x14ac:dyDescent="0.2">
      <c r="A116" s="324"/>
      <c r="B116" s="325"/>
      <c r="C116" s="325"/>
      <c r="D116" s="325"/>
      <c r="E116" s="325"/>
      <c r="F116" s="325"/>
      <c r="G116" s="325"/>
      <c r="H116" s="325"/>
      <c r="I116" s="325"/>
      <c r="J116" s="326"/>
    </row>
    <row r="117" spans="1:10" ht="12.75" customHeight="1" x14ac:dyDescent="0.2">
      <c r="A117" s="324"/>
      <c r="B117" s="325"/>
      <c r="C117" s="325"/>
      <c r="D117" s="325"/>
      <c r="E117" s="325"/>
      <c r="F117" s="325"/>
      <c r="G117" s="325"/>
      <c r="H117" s="325"/>
      <c r="I117" s="325"/>
      <c r="J117" s="326"/>
    </row>
    <row r="118" spans="1:10" ht="15" customHeight="1" x14ac:dyDescent="0.2">
      <c r="A118" s="324"/>
      <c r="B118" s="325"/>
      <c r="C118" s="325"/>
      <c r="D118" s="325"/>
      <c r="E118" s="325"/>
      <c r="F118" s="325"/>
      <c r="G118" s="325"/>
      <c r="H118" s="325"/>
      <c r="I118" s="325"/>
      <c r="J118" s="326"/>
    </row>
    <row r="119" spans="1:10" s="61" customFormat="1" ht="12.75" customHeight="1" x14ac:dyDescent="0.2">
      <c r="A119" s="324"/>
      <c r="B119" s="325"/>
      <c r="C119" s="325"/>
      <c r="D119" s="325"/>
      <c r="E119" s="325"/>
      <c r="F119" s="325"/>
      <c r="G119" s="325"/>
      <c r="H119" s="325"/>
      <c r="I119" s="325"/>
      <c r="J119" s="326"/>
    </row>
    <row r="120" spans="1:10" ht="8.4499999999999993" customHeight="1" x14ac:dyDescent="0.2">
      <c r="A120" s="327"/>
      <c r="B120" s="328"/>
      <c r="C120" s="328"/>
      <c r="D120" s="328"/>
      <c r="E120" s="328"/>
      <c r="F120" s="328"/>
      <c r="G120" s="328"/>
      <c r="H120" s="328"/>
      <c r="I120" s="328"/>
      <c r="J120" s="329"/>
    </row>
    <row r="121" spans="1:10" ht="12.75" customHeight="1" x14ac:dyDescent="0.2">
      <c r="A121" s="348" t="s">
        <v>528</v>
      </c>
      <c r="B121" s="349"/>
      <c r="C121" s="349"/>
      <c r="D121" s="349"/>
      <c r="E121" s="349"/>
      <c r="F121" s="350"/>
      <c r="G121" s="350"/>
      <c r="H121" s="350"/>
      <c r="I121" s="350"/>
      <c r="J121" s="351"/>
    </row>
    <row r="122" spans="1:10" ht="15" customHeight="1" x14ac:dyDescent="0.2">
      <c r="A122" s="321" t="s">
        <v>342</v>
      </c>
      <c r="B122" s="322"/>
      <c r="C122" s="322"/>
      <c r="D122" s="322"/>
      <c r="E122" s="322"/>
      <c r="F122" s="322"/>
      <c r="G122" s="322"/>
      <c r="H122" s="322"/>
      <c r="I122" s="322"/>
      <c r="J122" s="323"/>
    </row>
    <row r="123" spans="1:10" ht="15" customHeight="1" x14ac:dyDescent="0.2">
      <c r="A123" s="324"/>
      <c r="B123" s="325"/>
      <c r="C123" s="325"/>
      <c r="D123" s="325"/>
      <c r="E123" s="325"/>
      <c r="F123" s="325"/>
      <c r="G123" s="325"/>
      <c r="H123" s="325"/>
      <c r="I123" s="325"/>
      <c r="J123" s="326"/>
    </row>
    <row r="124" spans="1:10" s="61" customFormat="1" ht="12.75" customHeight="1" x14ac:dyDescent="0.2">
      <c r="A124" s="324"/>
      <c r="B124" s="325"/>
      <c r="C124" s="325"/>
      <c r="D124" s="325"/>
      <c r="E124" s="325"/>
      <c r="F124" s="325"/>
      <c r="G124" s="325"/>
      <c r="H124" s="325"/>
      <c r="I124" s="325"/>
      <c r="J124" s="326"/>
    </row>
    <row r="125" spans="1:10" s="61" customFormat="1" x14ac:dyDescent="0.2">
      <c r="A125" s="330"/>
      <c r="B125" s="331"/>
      <c r="C125" s="331"/>
      <c r="D125" s="331"/>
      <c r="E125" s="331"/>
      <c r="F125" s="331"/>
      <c r="G125" s="331"/>
      <c r="H125" s="331"/>
      <c r="I125" s="331"/>
      <c r="J125" s="332"/>
    </row>
    <row r="126" spans="1:10" s="61" customFormat="1" x14ac:dyDescent="0.2">
      <c r="A126" s="330"/>
      <c r="B126" s="331"/>
      <c r="C126" s="331"/>
      <c r="D126" s="331"/>
      <c r="E126" s="331"/>
      <c r="F126" s="331"/>
      <c r="G126" s="331"/>
      <c r="H126" s="331"/>
      <c r="I126" s="331"/>
      <c r="J126" s="332"/>
    </row>
    <row r="127" spans="1:10" s="61" customFormat="1" x14ac:dyDescent="0.2">
      <c r="A127" s="330"/>
      <c r="B127" s="331"/>
      <c r="C127" s="331"/>
      <c r="D127" s="331"/>
      <c r="E127" s="331"/>
      <c r="F127" s="331"/>
      <c r="G127" s="331"/>
      <c r="H127" s="331"/>
      <c r="I127" s="331"/>
      <c r="J127" s="332"/>
    </row>
    <row r="128" spans="1:10" s="61" customFormat="1" x14ac:dyDescent="0.2">
      <c r="A128" s="330"/>
      <c r="B128" s="331"/>
      <c r="C128" s="331"/>
      <c r="D128" s="331"/>
      <c r="E128" s="331"/>
      <c r="F128" s="331"/>
      <c r="G128" s="331"/>
      <c r="H128" s="331"/>
      <c r="I128" s="331"/>
      <c r="J128" s="332"/>
    </row>
    <row r="129" spans="1:10" s="61" customFormat="1" x14ac:dyDescent="0.2">
      <c r="A129" s="330"/>
      <c r="B129" s="331"/>
      <c r="C129" s="331"/>
      <c r="D129" s="331"/>
      <c r="E129" s="331"/>
      <c r="F129" s="331"/>
      <c r="G129" s="331"/>
      <c r="H129" s="331"/>
      <c r="I129" s="331"/>
      <c r="J129" s="332"/>
    </row>
    <row r="130" spans="1:10" s="61" customFormat="1" x14ac:dyDescent="0.2">
      <c r="A130" s="330"/>
      <c r="B130" s="331"/>
      <c r="C130" s="331"/>
      <c r="D130" s="331"/>
      <c r="E130" s="331"/>
      <c r="F130" s="331"/>
      <c r="G130" s="331"/>
      <c r="H130" s="331"/>
      <c r="I130" s="331"/>
      <c r="J130" s="332"/>
    </row>
    <row r="131" spans="1:10" s="61" customFormat="1" x14ac:dyDescent="0.2">
      <c r="A131" s="330"/>
      <c r="B131" s="331"/>
      <c r="C131" s="331"/>
      <c r="D131" s="331"/>
      <c r="E131" s="331"/>
      <c r="F131" s="331"/>
      <c r="G131" s="331"/>
      <c r="H131" s="331"/>
      <c r="I131" s="331"/>
      <c r="J131" s="332"/>
    </row>
    <row r="132" spans="1:10" s="61" customFormat="1" x14ac:dyDescent="0.2">
      <c r="A132" s="330"/>
      <c r="B132" s="331"/>
      <c r="C132" s="331"/>
      <c r="D132" s="331"/>
      <c r="E132" s="331"/>
      <c r="F132" s="331"/>
      <c r="G132" s="331"/>
      <c r="H132" s="331"/>
      <c r="I132" s="331"/>
      <c r="J132" s="332"/>
    </row>
    <row r="133" spans="1:10" s="61" customFormat="1" x14ac:dyDescent="0.2">
      <c r="A133" s="330"/>
      <c r="B133" s="331"/>
      <c r="C133" s="331"/>
      <c r="D133" s="331"/>
      <c r="E133" s="331"/>
      <c r="F133" s="331"/>
      <c r="G133" s="331"/>
      <c r="H133" s="331"/>
      <c r="I133" s="331"/>
      <c r="J133" s="332"/>
    </row>
    <row r="134" spans="1:10" s="61" customFormat="1" x14ac:dyDescent="0.2">
      <c r="A134" s="330"/>
      <c r="B134" s="331"/>
      <c r="C134" s="331"/>
      <c r="D134" s="331"/>
      <c r="E134" s="331"/>
      <c r="F134" s="331"/>
      <c r="G134" s="331"/>
      <c r="H134" s="331"/>
      <c r="I134" s="331"/>
      <c r="J134" s="332"/>
    </row>
    <row r="135" spans="1:10" s="61" customFormat="1" x14ac:dyDescent="0.2">
      <c r="A135" s="330"/>
      <c r="B135" s="331"/>
      <c r="C135" s="331"/>
      <c r="D135" s="331"/>
      <c r="E135" s="331"/>
      <c r="F135" s="331"/>
      <c r="G135" s="331"/>
      <c r="H135" s="331"/>
      <c r="I135" s="331"/>
      <c r="J135" s="332"/>
    </row>
    <row r="136" spans="1:10" s="61" customFormat="1" x14ac:dyDescent="0.2">
      <c r="A136" s="330"/>
      <c r="B136" s="331"/>
      <c r="C136" s="331"/>
      <c r="D136" s="331"/>
      <c r="E136" s="331"/>
      <c r="F136" s="331"/>
      <c r="G136" s="331"/>
      <c r="H136" s="331"/>
      <c r="I136" s="331"/>
      <c r="J136" s="332"/>
    </row>
    <row r="137" spans="1:10" s="61" customFormat="1" x14ac:dyDescent="0.2">
      <c r="A137" s="330"/>
      <c r="B137" s="331"/>
      <c r="C137" s="331"/>
      <c r="D137" s="331"/>
      <c r="E137" s="331"/>
      <c r="F137" s="331"/>
      <c r="G137" s="331"/>
      <c r="H137" s="331"/>
      <c r="I137" s="331"/>
      <c r="J137" s="332"/>
    </row>
    <row r="138" spans="1:10" s="61" customFormat="1" x14ac:dyDescent="0.2">
      <c r="A138" s="330"/>
      <c r="B138" s="331"/>
      <c r="C138" s="331"/>
      <c r="D138" s="331"/>
      <c r="E138" s="331"/>
      <c r="F138" s="331"/>
      <c r="G138" s="331"/>
      <c r="H138" s="331"/>
      <c r="I138" s="331"/>
      <c r="J138" s="332"/>
    </row>
    <row r="139" spans="1:10" s="61" customFormat="1" x14ac:dyDescent="0.2">
      <c r="A139" s="330"/>
      <c r="B139" s="331"/>
      <c r="C139" s="331"/>
      <c r="D139" s="331"/>
      <c r="E139" s="331"/>
      <c r="F139" s="331"/>
      <c r="G139" s="331"/>
      <c r="H139" s="331"/>
      <c r="I139" s="331"/>
      <c r="J139" s="332"/>
    </row>
    <row r="140" spans="1:10" s="61" customFormat="1" x14ac:dyDescent="0.2">
      <c r="A140" s="330"/>
      <c r="B140" s="331"/>
      <c r="C140" s="331"/>
      <c r="D140" s="331"/>
      <c r="E140" s="331"/>
      <c r="F140" s="331"/>
      <c r="G140" s="331"/>
      <c r="H140" s="331"/>
      <c r="I140" s="331"/>
      <c r="J140" s="332"/>
    </row>
    <row r="141" spans="1:10" s="61" customFormat="1" x14ac:dyDescent="0.2">
      <c r="A141" s="330"/>
      <c r="B141" s="331"/>
      <c r="C141" s="331"/>
      <c r="D141" s="331"/>
      <c r="E141" s="331"/>
      <c r="F141" s="331"/>
      <c r="G141" s="331"/>
      <c r="H141" s="331"/>
      <c r="I141" s="331"/>
      <c r="J141" s="332"/>
    </row>
    <row r="142" spans="1:10" s="61" customFormat="1" x14ac:dyDescent="0.2">
      <c r="A142" s="330"/>
      <c r="B142" s="331"/>
      <c r="C142" s="331"/>
      <c r="D142" s="331"/>
      <c r="E142" s="331"/>
      <c r="F142" s="331"/>
      <c r="G142" s="331"/>
      <c r="H142" s="331"/>
      <c r="I142" s="331"/>
      <c r="J142" s="332"/>
    </row>
    <row r="143" spans="1:10" s="61" customFormat="1" x14ac:dyDescent="0.2">
      <c r="A143" s="330"/>
      <c r="B143" s="331"/>
      <c r="C143" s="331"/>
      <c r="D143" s="331"/>
      <c r="E143" s="331"/>
      <c r="F143" s="331"/>
      <c r="G143" s="331"/>
      <c r="H143" s="331"/>
      <c r="I143" s="331"/>
      <c r="J143" s="332"/>
    </row>
    <row r="144" spans="1:10" s="61" customFormat="1" x14ac:dyDescent="0.2">
      <c r="A144" s="330"/>
      <c r="B144" s="331"/>
      <c r="C144" s="331"/>
      <c r="D144" s="331"/>
      <c r="E144" s="331"/>
      <c r="F144" s="331"/>
      <c r="G144" s="331"/>
      <c r="H144" s="331"/>
      <c r="I144" s="331"/>
      <c r="J144" s="332"/>
    </row>
    <row r="145" spans="1:10" s="61" customFormat="1" x14ac:dyDescent="0.2">
      <c r="A145" s="55"/>
      <c r="B145" s="56"/>
      <c r="C145" s="57"/>
      <c r="D145" s="58"/>
      <c r="E145" s="58"/>
      <c r="F145" s="58"/>
      <c r="G145" s="58"/>
      <c r="H145" s="59"/>
      <c r="I145" s="57"/>
      <c r="J145" s="60"/>
    </row>
    <row r="146" spans="1:10" x14ac:dyDescent="0.2">
      <c r="A146" s="333" t="s">
        <v>529</v>
      </c>
      <c r="B146" s="334"/>
      <c r="C146" s="334"/>
      <c r="D146" s="334"/>
      <c r="E146" s="334"/>
      <c r="F146" s="334"/>
      <c r="G146" s="334"/>
      <c r="H146" s="334"/>
      <c r="I146" s="334"/>
      <c r="J146" s="335"/>
    </row>
    <row r="147" spans="1:10" x14ac:dyDescent="0.2">
      <c r="A147" s="336"/>
      <c r="B147" s="337"/>
      <c r="C147" s="337"/>
      <c r="D147" s="337"/>
      <c r="E147" s="337"/>
      <c r="F147" s="337"/>
      <c r="G147" s="337"/>
      <c r="H147" s="337"/>
      <c r="I147" s="337"/>
      <c r="J147" s="338"/>
    </row>
    <row r="148" spans="1:10" ht="12.75" customHeight="1" x14ac:dyDescent="0.2">
      <c r="A148" s="321" t="s">
        <v>530</v>
      </c>
      <c r="B148" s="322"/>
      <c r="C148" s="322"/>
      <c r="D148" s="322"/>
      <c r="E148" s="322"/>
      <c r="F148" s="322"/>
      <c r="G148" s="322"/>
      <c r="H148" s="322"/>
      <c r="I148" s="322"/>
      <c r="J148" s="323"/>
    </row>
    <row r="149" spans="1:10" ht="12.75" customHeight="1" x14ac:dyDescent="0.2">
      <c r="A149" s="324"/>
      <c r="B149" s="325"/>
      <c r="C149" s="325"/>
      <c r="D149" s="325"/>
      <c r="E149" s="325"/>
      <c r="F149" s="325"/>
      <c r="G149" s="325"/>
      <c r="H149" s="325"/>
      <c r="I149" s="325"/>
      <c r="J149" s="326"/>
    </row>
    <row r="150" spans="1:10" ht="12.75" customHeight="1" x14ac:dyDescent="0.2">
      <c r="A150" s="324"/>
      <c r="B150" s="325"/>
      <c r="C150" s="325"/>
      <c r="D150" s="325"/>
      <c r="E150" s="325"/>
      <c r="F150" s="325"/>
      <c r="G150" s="325"/>
      <c r="H150" s="325"/>
      <c r="I150" s="325"/>
      <c r="J150" s="326"/>
    </row>
    <row r="151" spans="1:10" ht="115.15" customHeight="1" x14ac:dyDescent="0.2">
      <c r="A151" s="327"/>
      <c r="B151" s="328"/>
      <c r="C151" s="328"/>
      <c r="D151" s="328"/>
      <c r="E151" s="328"/>
      <c r="F151" s="328"/>
      <c r="G151" s="328"/>
      <c r="H151" s="328"/>
      <c r="I151" s="328"/>
      <c r="J151" s="329"/>
    </row>
    <row r="152" spans="1:10" s="61" customFormat="1" ht="12.75" customHeight="1" x14ac:dyDescent="0.2">
      <c r="A152" s="348" t="s">
        <v>531</v>
      </c>
      <c r="B152" s="349"/>
      <c r="C152" s="349"/>
      <c r="D152" s="349"/>
      <c r="E152" s="349"/>
      <c r="F152" s="366"/>
      <c r="G152" s="366"/>
      <c r="H152" s="366"/>
      <c r="I152" s="366"/>
      <c r="J152" s="367"/>
    </row>
    <row r="153" spans="1:10" ht="12.75" customHeight="1" x14ac:dyDescent="0.2">
      <c r="A153" s="321" t="s">
        <v>343</v>
      </c>
      <c r="B153" s="322"/>
      <c r="C153" s="322"/>
      <c r="D153" s="322"/>
      <c r="E153" s="322"/>
      <c r="F153" s="322"/>
      <c r="G153" s="322"/>
      <c r="H153" s="322"/>
      <c r="I153" s="322"/>
      <c r="J153" s="323"/>
    </row>
    <row r="154" spans="1:10" ht="12.75" customHeight="1" x14ac:dyDescent="0.2">
      <c r="A154" s="324"/>
      <c r="B154" s="325"/>
      <c r="C154" s="325"/>
      <c r="D154" s="325"/>
      <c r="E154" s="325"/>
      <c r="F154" s="325"/>
      <c r="G154" s="325"/>
      <c r="H154" s="325"/>
      <c r="I154" s="325"/>
      <c r="J154" s="326"/>
    </row>
    <row r="155" spans="1:10" ht="12.75" customHeight="1" x14ac:dyDescent="0.2">
      <c r="A155" s="324"/>
      <c r="B155" s="325"/>
      <c r="C155" s="325"/>
      <c r="D155" s="325"/>
      <c r="E155" s="325"/>
      <c r="F155" s="325"/>
      <c r="G155" s="325"/>
      <c r="H155" s="325"/>
      <c r="I155" s="325"/>
      <c r="J155" s="326"/>
    </row>
    <row r="156" spans="1:10" ht="15" customHeight="1" x14ac:dyDescent="0.2">
      <c r="A156" s="327"/>
      <c r="B156" s="328"/>
      <c r="C156" s="328"/>
      <c r="D156" s="328"/>
      <c r="E156" s="328"/>
      <c r="F156" s="328"/>
      <c r="G156" s="328"/>
      <c r="H156" s="328"/>
      <c r="I156" s="328"/>
      <c r="J156" s="329"/>
    </row>
    <row r="157" spans="1:10" s="61" customFormat="1" ht="12.75" customHeight="1" x14ac:dyDescent="0.2">
      <c r="A157" s="360"/>
      <c r="B157" s="361"/>
      <c r="C157" s="361"/>
      <c r="D157" s="361"/>
      <c r="E157" s="361"/>
      <c r="F157" s="361"/>
      <c r="G157" s="361"/>
      <c r="H157" s="361"/>
      <c r="I157" s="361"/>
      <c r="J157" s="362"/>
    </row>
    <row r="158" spans="1:10" s="61" customFormat="1" x14ac:dyDescent="0.2">
      <c r="A158" s="363"/>
      <c r="B158" s="364"/>
      <c r="C158" s="364"/>
      <c r="D158" s="364"/>
      <c r="E158" s="364"/>
      <c r="F158" s="364"/>
      <c r="G158" s="364"/>
      <c r="H158" s="364"/>
      <c r="I158" s="364"/>
      <c r="J158" s="365"/>
    </row>
    <row r="159" spans="1:10" s="61" customFormat="1" x14ac:dyDescent="0.2">
      <c r="A159" s="363"/>
      <c r="B159" s="364"/>
      <c r="C159" s="364"/>
      <c r="D159" s="364"/>
      <c r="E159" s="364"/>
      <c r="F159" s="364"/>
      <c r="G159" s="364"/>
      <c r="H159" s="364"/>
      <c r="I159" s="364"/>
      <c r="J159" s="365"/>
    </row>
    <row r="160" spans="1:10" s="61" customFormat="1" x14ac:dyDescent="0.2">
      <c r="A160" s="363"/>
      <c r="B160" s="364"/>
      <c r="C160" s="364"/>
      <c r="D160" s="364"/>
      <c r="E160" s="364"/>
      <c r="F160" s="364"/>
      <c r="G160" s="364"/>
      <c r="H160" s="364"/>
      <c r="I160" s="364"/>
      <c r="J160" s="365"/>
    </row>
    <row r="161" spans="1:10" s="61" customFormat="1" x14ac:dyDescent="0.2">
      <c r="A161" s="363"/>
      <c r="B161" s="364"/>
      <c r="C161" s="364"/>
      <c r="D161" s="364"/>
      <c r="E161" s="364"/>
      <c r="F161" s="364"/>
      <c r="G161" s="364"/>
      <c r="H161" s="364"/>
      <c r="I161" s="364"/>
      <c r="J161" s="365"/>
    </row>
    <row r="162" spans="1:10" s="61" customFormat="1" x14ac:dyDescent="0.2">
      <c r="A162" s="363"/>
      <c r="B162" s="364"/>
      <c r="C162" s="364"/>
      <c r="D162" s="364"/>
      <c r="E162" s="364"/>
      <c r="F162" s="364"/>
      <c r="G162" s="364"/>
      <c r="H162" s="364"/>
      <c r="I162" s="364"/>
      <c r="J162" s="365"/>
    </row>
    <row r="163" spans="1:10" s="61" customFormat="1" x14ac:dyDescent="0.2">
      <c r="A163" s="363"/>
      <c r="B163" s="364"/>
      <c r="C163" s="364"/>
      <c r="D163" s="364"/>
      <c r="E163" s="364"/>
      <c r="F163" s="364"/>
      <c r="G163" s="364"/>
      <c r="H163" s="364"/>
      <c r="I163" s="364"/>
      <c r="J163" s="365"/>
    </row>
    <row r="164" spans="1:10" s="61" customFormat="1" x14ac:dyDescent="0.2">
      <c r="A164" s="363"/>
      <c r="B164" s="364"/>
      <c r="C164" s="364"/>
      <c r="D164" s="364"/>
      <c r="E164" s="364"/>
      <c r="F164" s="364"/>
      <c r="G164" s="364"/>
      <c r="H164" s="364"/>
      <c r="I164" s="364"/>
      <c r="J164" s="365"/>
    </row>
    <row r="165" spans="1:10" s="61" customFormat="1" x14ac:dyDescent="0.2">
      <c r="A165" s="363"/>
      <c r="B165" s="364"/>
      <c r="C165" s="364"/>
      <c r="D165" s="364"/>
      <c r="E165" s="364"/>
      <c r="F165" s="364"/>
      <c r="G165" s="364"/>
      <c r="H165" s="364"/>
      <c r="I165" s="364"/>
      <c r="J165" s="365"/>
    </row>
    <row r="166" spans="1:10" s="61" customFormat="1" x14ac:dyDescent="0.2">
      <c r="A166" s="363"/>
      <c r="B166" s="364"/>
      <c r="C166" s="364"/>
      <c r="D166" s="364"/>
      <c r="E166" s="364"/>
      <c r="F166" s="364"/>
      <c r="G166" s="364"/>
      <c r="H166" s="364"/>
      <c r="I166" s="364"/>
      <c r="J166" s="365"/>
    </row>
    <row r="167" spans="1:10" s="61" customFormat="1" x14ac:dyDescent="0.2">
      <c r="A167" s="363"/>
      <c r="B167" s="364"/>
      <c r="C167" s="364"/>
      <c r="D167" s="364"/>
      <c r="E167" s="364"/>
      <c r="F167" s="364"/>
      <c r="G167" s="364"/>
      <c r="H167" s="364"/>
      <c r="I167" s="364"/>
      <c r="J167" s="365"/>
    </row>
    <row r="168" spans="1:10" s="61" customFormat="1" x14ac:dyDescent="0.2">
      <c r="A168" s="363"/>
      <c r="B168" s="364"/>
      <c r="C168" s="364"/>
      <c r="D168" s="364"/>
      <c r="E168" s="364"/>
      <c r="F168" s="364"/>
      <c r="G168" s="364"/>
      <c r="H168" s="364"/>
      <c r="I168" s="364"/>
      <c r="J168" s="365"/>
    </row>
    <row r="169" spans="1:10" s="61" customFormat="1" x14ac:dyDescent="0.2">
      <c r="A169" s="363"/>
      <c r="B169" s="364"/>
      <c r="C169" s="364"/>
      <c r="D169" s="364"/>
      <c r="E169" s="364"/>
      <c r="F169" s="364"/>
      <c r="G169" s="364"/>
      <c r="H169" s="364"/>
      <c r="I169" s="364"/>
      <c r="J169" s="365"/>
    </row>
    <row r="170" spans="1:10" ht="12.75" customHeight="1" x14ac:dyDescent="0.2">
      <c r="A170" s="363"/>
      <c r="B170" s="364"/>
      <c r="C170" s="364"/>
      <c r="D170" s="364"/>
      <c r="E170" s="364"/>
      <c r="F170" s="364"/>
      <c r="G170" s="364"/>
      <c r="H170" s="364"/>
      <c r="I170" s="364"/>
      <c r="J170" s="365"/>
    </row>
    <row r="171" spans="1:10" ht="12.75" customHeight="1" x14ac:dyDescent="0.2">
      <c r="A171" s="363"/>
      <c r="B171" s="364"/>
      <c r="C171" s="364"/>
      <c r="D171" s="364"/>
      <c r="E171" s="364"/>
      <c r="F171" s="364"/>
      <c r="G171" s="364"/>
      <c r="H171" s="364"/>
      <c r="I171" s="364"/>
      <c r="J171" s="365"/>
    </row>
    <row r="172" spans="1:10" ht="12.75" customHeight="1" x14ac:dyDescent="0.2">
      <c r="A172" s="363"/>
      <c r="B172" s="364"/>
      <c r="C172" s="364"/>
      <c r="D172" s="364"/>
      <c r="E172" s="364"/>
      <c r="F172" s="364"/>
      <c r="G172" s="364"/>
      <c r="H172" s="364"/>
      <c r="I172" s="364"/>
      <c r="J172" s="365"/>
    </row>
    <row r="173" spans="1:10" ht="15" customHeight="1" x14ac:dyDescent="0.2">
      <c r="A173" s="363"/>
      <c r="B173" s="364"/>
      <c r="C173" s="364"/>
      <c r="D173" s="364"/>
      <c r="E173" s="364"/>
      <c r="F173" s="364"/>
      <c r="G173" s="364"/>
      <c r="H173" s="364"/>
      <c r="I173" s="364"/>
      <c r="J173" s="365"/>
    </row>
    <row r="174" spans="1:10" s="61" customFormat="1" ht="12.75" customHeight="1" x14ac:dyDescent="0.2">
      <c r="A174" s="363"/>
      <c r="B174" s="364"/>
      <c r="C174" s="364"/>
      <c r="D174" s="364"/>
      <c r="E174" s="364"/>
      <c r="F174" s="364"/>
      <c r="G174" s="364"/>
      <c r="H174" s="364"/>
      <c r="I174" s="364"/>
      <c r="J174" s="365"/>
    </row>
    <row r="175" spans="1:10" s="61" customFormat="1" x14ac:dyDescent="0.2">
      <c r="A175" s="363"/>
      <c r="B175" s="364"/>
      <c r="C175" s="364"/>
      <c r="D175" s="364"/>
      <c r="E175" s="364"/>
      <c r="F175" s="364"/>
      <c r="G175" s="364"/>
      <c r="H175" s="364"/>
      <c r="I175" s="364"/>
      <c r="J175" s="365"/>
    </row>
    <row r="176" spans="1:10" s="61" customFormat="1" x14ac:dyDescent="0.2">
      <c r="A176" s="363"/>
      <c r="B176" s="364"/>
      <c r="C176" s="364"/>
      <c r="D176" s="364"/>
      <c r="E176" s="364"/>
      <c r="F176" s="364"/>
      <c r="G176" s="364"/>
      <c r="H176" s="364"/>
      <c r="I176" s="364"/>
      <c r="J176" s="365"/>
    </row>
    <row r="177" spans="1:10" s="61" customFormat="1" x14ac:dyDescent="0.2">
      <c r="A177" s="55"/>
      <c r="B177" s="56"/>
      <c r="C177" s="57"/>
      <c r="D177" s="58"/>
      <c r="E177" s="58"/>
      <c r="F177" s="58"/>
      <c r="G177" s="58"/>
      <c r="H177" s="59"/>
      <c r="I177" s="57"/>
      <c r="J177" s="60"/>
    </row>
    <row r="178" spans="1:10" x14ac:dyDescent="0.2">
      <c r="A178" s="333" t="s">
        <v>532</v>
      </c>
      <c r="B178" s="334"/>
      <c r="C178" s="334"/>
      <c r="D178" s="334"/>
      <c r="E178" s="334"/>
      <c r="F178" s="334"/>
      <c r="G178" s="334"/>
      <c r="H178" s="334"/>
      <c r="I178" s="334"/>
      <c r="J178" s="335"/>
    </row>
    <row r="179" spans="1:10" x14ac:dyDescent="0.2">
      <c r="A179" s="336"/>
      <c r="B179" s="337"/>
      <c r="C179" s="337"/>
      <c r="D179" s="337"/>
      <c r="E179" s="337"/>
      <c r="F179" s="337"/>
      <c r="G179" s="337"/>
      <c r="H179" s="337"/>
      <c r="I179" s="337"/>
      <c r="J179" s="338"/>
    </row>
    <row r="180" spans="1:10" ht="12.75" customHeight="1" x14ac:dyDescent="0.2">
      <c r="A180" s="321" t="s">
        <v>533</v>
      </c>
      <c r="B180" s="322"/>
      <c r="C180" s="322"/>
      <c r="D180" s="322"/>
      <c r="E180" s="322"/>
      <c r="F180" s="322"/>
      <c r="G180" s="322"/>
      <c r="H180" s="322"/>
      <c r="I180" s="322"/>
      <c r="J180" s="323"/>
    </row>
    <row r="181" spans="1:10" ht="12.75" customHeight="1" x14ac:dyDescent="0.2">
      <c r="A181" s="324"/>
      <c r="B181" s="325"/>
      <c r="C181" s="325"/>
      <c r="D181" s="325"/>
      <c r="E181" s="325"/>
      <c r="F181" s="325"/>
      <c r="G181" s="325"/>
      <c r="H181" s="325"/>
      <c r="I181" s="325"/>
      <c r="J181" s="326"/>
    </row>
    <row r="182" spans="1:10" ht="14.45" customHeight="1" x14ac:dyDescent="0.2">
      <c r="A182" s="324"/>
      <c r="B182" s="325"/>
      <c r="C182" s="325"/>
      <c r="D182" s="325"/>
      <c r="E182" s="325"/>
      <c r="F182" s="325"/>
      <c r="G182" s="325"/>
      <c r="H182" s="325"/>
      <c r="I182" s="325"/>
      <c r="J182" s="326"/>
    </row>
    <row r="183" spans="1:10" ht="79.900000000000006" customHeight="1" x14ac:dyDescent="0.2">
      <c r="A183" s="327"/>
      <c r="B183" s="328"/>
      <c r="C183" s="328"/>
      <c r="D183" s="328"/>
      <c r="E183" s="328"/>
      <c r="F183" s="328"/>
      <c r="G183" s="328"/>
      <c r="H183" s="328"/>
      <c r="I183" s="328"/>
      <c r="J183" s="329"/>
    </row>
    <row r="184" spans="1:10" s="61" customFormat="1" ht="12.75" customHeight="1" x14ac:dyDescent="0.2">
      <c r="A184" s="348" t="s">
        <v>536</v>
      </c>
      <c r="B184" s="349"/>
      <c r="C184" s="349"/>
      <c r="D184" s="349"/>
      <c r="E184" s="349"/>
      <c r="F184" s="366"/>
      <c r="G184" s="366"/>
      <c r="H184" s="366"/>
      <c r="I184" s="366"/>
      <c r="J184" s="367"/>
    </row>
    <row r="185" spans="1:10" ht="12.75" customHeight="1" x14ac:dyDescent="0.2">
      <c r="A185" s="321" t="s">
        <v>343</v>
      </c>
      <c r="B185" s="322"/>
      <c r="C185" s="322"/>
      <c r="D185" s="322"/>
      <c r="E185" s="322"/>
      <c r="F185" s="322"/>
      <c r="G185" s="322"/>
      <c r="H185" s="322"/>
      <c r="I185" s="322"/>
      <c r="J185" s="323"/>
    </row>
    <row r="186" spans="1:10" ht="12.75" customHeight="1" x14ac:dyDescent="0.2">
      <c r="A186" s="324"/>
      <c r="B186" s="325"/>
      <c r="C186" s="325"/>
      <c r="D186" s="325"/>
      <c r="E186" s="325"/>
      <c r="F186" s="325"/>
      <c r="G186" s="325"/>
      <c r="H186" s="325"/>
      <c r="I186" s="325"/>
      <c r="J186" s="326"/>
    </row>
    <row r="187" spans="1:10" ht="12.75" customHeight="1" x14ac:dyDescent="0.2">
      <c r="A187" s="324"/>
      <c r="B187" s="325"/>
      <c r="C187" s="325"/>
      <c r="D187" s="325"/>
      <c r="E187" s="325"/>
      <c r="F187" s="325"/>
      <c r="G187" s="325"/>
      <c r="H187" s="325"/>
      <c r="I187" s="325"/>
      <c r="J187" s="326"/>
    </row>
    <row r="188" spans="1:10" ht="15" customHeight="1" x14ac:dyDescent="0.2">
      <c r="A188" s="327"/>
      <c r="B188" s="328"/>
      <c r="C188" s="328"/>
      <c r="D188" s="328"/>
      <c r="E188" s="328"/>
      <c r="F188" s="328"/>
      <c r="G188" s="328"/>
      <c r="H188" s="328"/>
      <c r="I188" s="328"/>
      <c r="J188" s="329"/>
    </row>
    <row r="189" spans="1:10" s="61" customFormat="1" ht="12.75" customHeight="1" x14ac:dyDescent="0.2">
      <c r="A189" s="434"/>
      <c r="B189" s="435"/>
      <c r="C189" s="435"/>
      <c r="D189" s="435"/>
      <c r="E189" s="435"/>
      <c r="F189" s="435"/>
      <c r="G189" s="435"/>
      <c r="H189" s="435"/>
      <c r="I189" s="435"/>
      <c r="J189" s="436"/>
    </row>
    <row r="190" spans="1:10" s="61" customFormat="1" x14ac:dyDescent="0.2">
      <c r="A190" s="437"/>
      <c r="B190" s="438"/>
      <c r="C190" s="438"/>
      <c r="D190" s="438"/>
      <c r="E190" s="438"/>
      <c r="F190" s="438"/>
      <c r="G190" s="438"/>
      <c r="H190" s="438"/>
      <c r="I190" s="438"/>
      <c r="J190" s="439"/>
    </row>
    <row r="191" spans="1:10" s="61" customFormat="1" x14ac:dyDescent="0.2">
      <c r="A191" s="437"/>
      <c r="B191" s="438"/>
      <c r="C191" s="438"/>
      <c r="D191" s="438"/>
      <c r="E191" s="438"/>
      <c r="F191" s="438"/>
      <c r="G191" s="438"/>
      <c r="H191" s="438"/>
      <c r="I191" s="438"/>
      <c r="J191" s="439"/>
    </row>
    <row r="192" spans="1:10" s="61" customFormat="1" x14ac:dyDescent="0.2">
      <c r="A192" s="437"/>
      <c r="B192" s="438"/>
      <c r="C192" s="438"/>
      <c r="D192" s="438"/>
      <c r="E192" s="438"/>
      <c r="F192" s="438"/>
      <c r="G192" s="438"/>
      <c r="H192" s="438"/>
      <c r="I192" s="438"/>
      <c r="J192" s="439"/>
    </row>
    <row r="193" spans="1:10" s="61" customFormat="1" x14ac:dyDescent="0.2">
      <c r="A193" s="437"/>
      <c r="B193" s="438"/>
      <c r="C193" s="438"/>
      <c r="D193" s="438"/>
      <c r="E193" s="438"/>
      <c r="F193" s="438"/>
      <c r="G193" s="438"/>
      <c r="H193" s="438"/>
      <c r="I193" s="438"/>
      <c r="J193" s="439"/>
    </row>
    <row r="194" spans="1:10" s="61" customFormat="1" x14ac:dyDescent="0.2">
      <c r="A194" s="437"/>
      <c r="B194" s="438"/>
      <c r="C194" s="438"/>
      <c r="D194" s="438"/>
      <c r="E194" s="438"/>
      <c r="F194" s="438"/>
      <c r="G194" s="438"/>
      <c r="H194" s="438"/>
      <c r="I194" s="438"/>
      <c r="J194" s="439"/>
    </row>
    <row r="195" spans="1:10" s="61" customFormat="1" x14ac:dyDescent="0.2">
      <c r="A195" s="437"/>
      <c r="B195" s="438"/>
      <c r="C195" s="438"/>
      <c r="D195" s="438"/>
      <c r="E195" s="438"/>
      <c r="F195" s="438"/>
      <c r="G195" s="438"/>
      <c r="H195" s="438"/>
      <c r="I195" s="438"/>
      <c r="J195" s="439"/>
    </row>
    <row r="196" spans="1:10" s="61" customFormat="1" x14ac:dyDescent="0.2">
      <c r="A196" s="437"/>
      <c r="B196" s="438"/>
      <c r="C196" s="438"/>
      <c r="D196" s="438"/>
      <c r="E196" s="438"/>
      <c r="F196" s="438"/>
      <c r="G196" s="438"/>
      <c r="H196" s="438"/>
      <c r="I196" s="438"/>
      <c r="J196" s="439"/>
    </row>
    <row r="197" spans="1:10" s="61" customFormat="1" x14ac:dyDescent="0.2">
      <c r="A197" s="437"/>
      <c r="B197" s="438"/>
      <c r="C197" s="438"/>
      <c r="D197" s="438"/>
      <c r="E197" s="438"/>
      <c r="F197" s="438"/>
      <c r="G197" s="438"/>
      <c r="H197" s="438"/>
      <c r="I197" s="438"/>
      <c r="J197" s="439"/>
    </row>
    <row r="198" spans="1:10" s="61" customFormat="1" x14ac:dyDescent="0.2">
      <c r="A198" s="437"/>
      <c r="B198" s="438"/>
      <c r="C198" s="438"/>
      <c r="D198" s="438"/>
      <c r="E198" s="438"/>
      <c r="F198" s="438"/>
      <c r="G198" s="438"/>
      <c r="H198" s="438"/>
      <c r="I198" s="438"/>
      <c r="J198" s="439"/>
    </row>
    <row r="199" spans="1:10" s="61" customFormat="1" x14ac:dyDescent="0.2">
      <c r="A199" s="437"/>
      <c r="B199" s="438"/>
      <c r="C199" s="438"/>
      <c r="D199" s="438"/>
      <c r="E199" s="438"/>
      <c r="F199" s="438"/>
      <c r="G199" s="438"/>
      <c r="H199" s="438"/>
      <c r="I199" s="438"/>
      <c r="J199" s="439"/>
    </row>
    <row r="200" spans="1:10" s="61" customFormat="1" x14ac:dyDescent="0.2">
      <c r="A200" s="437"/>
      <c r="B200" s="438"/>
      <c r="C200" s="438"/>
      <c r="D200" s="438"/>
      <c r="E200" s="438"/>
      <c r="F200" s="438"/>
      <c r="G200" s="438"/>
      <c r="H200" s="438"/>
      <c r="I200" s="438"/>
      <c r="J200" s="439"/>
    </row>
    <row r="201" spans="1:10" s="61" customFormat="1" x14ac:dyDescent="0.2">
      <c r="A201" s="437"/>
      <c r="B201" s="438"/>
      <c r="C201" s="438"/>
      <c r="D201" s="438"/>
      <c r="E201" s="438"/>
      <c r="F201" s="438"/>
      <c r="G201" s="438"/>
      <c r="H201" s="438"/>
      <c r="I201" s="438"/>
      <c r="J201" s="439"/>
    </row>
    <row r="202" spans="1:10" ht="12.75" customHeight="1" x14ac:dyDescent="0.2">
      <c r="A202" s="437"/>
      <c r="B202" s="438"/>
      <c r="C202" s="438"/>
      <c r="D202" s="438"/>
      <c r="E202" s="438"/>
      <c r="F202" s="438"/>
      <c r="G202" s="438"/>
      <c r="H202" s="438"/>
      <c r="I202" s="438"/>
      <c r="J202" s="439"/>
    </row>
    <row r="203" spans="1:10" ht="12.75" customHeight="1" x14ac:dyDescent="0.2">
      <c r="A203" s="437"/>
      <c r="B203" s="438"/>
      <c r="C203" s="438"/>
      <c r="D203" s="438"/>
      <c r="E203" s="438"/>
      <c r="F203" s="438"/>
      <c r="G203" s="438"/>
      <c r="H203" s="438"/>
      <c r="I203" s="438"/>
      <c r="J203" s="439"/>
    </row>
    <row r="204" spans="1:10" ht="12.75" customHeight="1" x14ac:dyDescent="0.2">
      <c r="A204" s="437"/>
      <c r="B204" s="438"/>
      <c r="C204" s="438"/>
      <c r="D204" s="438"/>
      <c r="E204" s="438"/>
      <c r="F204" s="438"/>
      <c r="G204" s="438"/>
      <c r="H204" s="438"/>
      <c r="I204" s="438"/>
      <c r="J204" s="439"/>
    </row>
    <row r="205" spans="1:10" ht="15" customHeight="1" x14ac:dyDescent="0.2">
      <c r="A205" s="437"/>
      <c r="B205" s="438"/>
      <c r="C205" s="438"/>
      <c r="D205" s="438"/>
      <c r="E205" s="438"/>
      <c r="F205" s="438"/>
      <c r="G205" s="438"/>
      <c r="H205" s="438"/>
      <c r="I205" s="438"/>
      <c r="J205" s="439"/>
    </row>
    <row r="206" spans="1:10" s="61" customFormat="1" ht="12.75" customHeight="1" x14ac:dyDescent="0.2">
      <c r="A206" s="437"/>
      <c r="B206" s="438"/>
      <c r="C206" s="438"/>
      <c r="D206" s="438"/>
      <c r="E206" s="438"/>
      <c r="F206" s="438"/>
      <c r="G206" s="438"/>
      <c r="H206" s="438"/>
      <c r="I206" s="438"/>
      <c r="J206" s="439"/>
    </row>
    <row r="207" spans="1:10" s="61" customFormat="1" x14ac:dyDescent="0.2">
      <c r="A207" s="437"/>
      <c r="B207" s="438"/>
      <c r="C207" s="438"/>
      <c r="D207" s="438"/>
      <c r="E207" s="438"/>
      <c r="F207" s="438"/>
      <c r="G207" s="438"/>
      <c r="H207" s="438"/>
      <c r="I207" s="438"/>
      <c r="J207" s="439"/>
    </row>
    <row r="208" spans="1:10" s="61" customFormat="1" x14ac:dyDescent="0.2">
      <c r="A208" s="437"/>
      <c r="B208" s="438"/>
      <c r="C208" s="438"/>
      <c r="D208" s="438"/>
      <c r="E208" s="438"/>
      <c r="F208" s="438"/>
      <c r="G208" s="438"/>
      <c r="H208" s="438"/>
      <c r="I208" s="438"/>
      <c r="J208" s="439"/>
    </row>
    <row r="209" spans="1:10" s="61" customFormat="1" x14ac:dyDescent="0.2">
      <c r="A209" s="55"/>
      <c r="B209" s="56"/>
      <c r="C209" s="57"/>
      <c r="D209" s="58"/>
      <c r="E209" s="58"/>
      <c r="F209" s="58"/>
      <c r="G209" s="58"/>
      <c r="H209" s="59"/>
      <c r="I209" s="57"/>
      <c r="J209" s="60"/>
    </row>
    <row r="210" spans="1:10" ht="12.75" customHeight="1" x14ac:dyDescent="0.2">
      <c r="A210" s="333" t="s">
        <v>534</v>
      </c>
      <c r="B210" s="334"/>
      <c r="C210" s="334"/>
      <c r="D210" s="334"/>
      <c r="E210" s="334"/>
      <c r="F210" s="334"/>
      <c r="G210" s="334"/>
      <c r="H210" s="334"/>
      <c r="I210" s="334"/>
      <c r="J210" s="335"/>
    </row>
    <row r="211" spans="1:10" x14ac:dyDescent="0.2">
      <c r="A211" s="336"/>
      <c r="B211" s="337"/>
      <c r="C211" s="337"/>
      <c r="D211" s="337"/>
      <c r="E211" s="337"/>
      <c r="F211" s="337"/>
      <c r="G211" s="337"/>
      <c r="H211" s="337"/>
      <c r="I211" s="337"/>
      <c r="J211" s="338"/>
    </row>
    <row r="212" spans="1:10" ht="15" customHeight="1" x14ac:dyDescent="0.2">
      <c r="A212" s="321" t="s">
        <v>535</v>
      </c>
      <c r="B212" s="322"/>
      <c r="C212" s="322"/>
      <c r="D212" s="322"/>
      <c r="E212" s="322"/>
      <c r="F212" s="322"/>
      <c r="G212" s="322"/>
      <c r="H212" s="322"/>
      <c r="I212" s="322"/>
      <c r="J212" s="323"/>
    </row>
    <row r="213" spans="1:10" ht="12.75" customHeight="1" x14ac:dyDescent="0.2">
      <c r="A213" s="324"/>
      <c r="B213" s="325"/>
      <c r="C213" s="325"/>
      <c r="D213" s="325"/>
      <c r="E213" s="325"/>
      <c r="F213" s="325"/>
      <c r="G213" s="325"/>
      <c r="H213" s="325"/>
      <c r="I213" s="325"/>
      <c r="J213" s="326"/>
    </row>
    <row r="214" spans="1:10" ht="12.75" customHeight="1" x14ac:dyDescent="0.2">
      <c r="A214" s="324"/>
      <c r="B214" s="325"/>
      <c r="C214" s="325"/>
      <c r="D214" s="325"/>
      <c r="E214" s="325"/>
      <c r="F214" s="325"/>
      <c r="G214" s="325"/>
      <c r="H214" s="325"/>
      <c r="I214" s="325"/>
      <c r="J214" s="326"/>
    </row>
    <row r="215" spans="1:10" ht="40.9" customHeight="1" x14ac:dyDescent="0.2">
      <c r="A215" s="327"/>
      <c r="B215" s="328"/>
      <c r="C215" s="328"/>
      <c r="D215" s="328"/>
      <c r="E215" s="328"/>
      <c r="F215" s="328"/>
      <c r="G215" s="328"/>
      <c r="H215" s="328"/>
      <c r="I215" s="328"/>
      <c r="J215" s="329"/>
    </row>
    <row r="216" spans="1:10" s="61" customFormat="1" ht="12.75" customHeight="1" x14ac:dyDescent="0.2">
      <c r="A216" s="348" t="s">
        <v>537</v>
      </c>
      <c r="B216" s="349"/>
      <c r="C216" s="349"/>
      <c r="D216" s="349"/>
      <c r="E216" s="349"/>
      <c r="F216" s="366"/>
      <c r="G216" s="366"/>
      <c r="H216" s="366"/>
      <c r="I216" s="366"/>
      <c r="J216" s="367"/>
    </row>
    <row r="217" spans="1:10" ht="12.75" customHeight="1" x14ac:dyDescent="0.2">
      <c r="A217" s="321" t="s">
        <v>343</v>
      </c>
      <c r="B217" s="322"/>
      <c r="C217" s="322"/>
      <c r="D217" s="322"/>
      <c r="E217" s="322"/>
      <c r="F217" s="322"/>
      <c r="G217" s="322"/>
      <c r="H217" s="322"/>
      <c r="I217" s="322"/>
      <c r="J217" s="323"/>
    </row>
    <row r="218" spans="1:10" ht="12.75" customHeight="1" x14ac:dyDescent="0.2">
      <c r="A218" s="324"/>
      <c r="B218" s="325"/>
      <c r="C218" s="325"/>
      <c r="D218" s="325"/>
      <c r="E218" s="325"/>
      <c r="F218" s="325"/>
      <c r="G218" s="325"/>
      <c r="H218" s="325"/>
      <c r="I218" s="325"/>
      <c r="J218" s="326"/>
    </row>
    <row r="219" spans="1:10" ht="12.75" customHeight="1" x14ac:dyDescent="0.2">
      <c r="A219" s="324"/>
      <c r="B219" s="325"/>
      <c r="C219" s="325"/>
      <c r="D219" s="325"/>
      <c r="E219" s="325"/>
      <c r="F219" s="325"/>
      <c r="G219" s="325"/>
      <c r="H219" s="325"/>
      <c r="I219" s="325"/>
      <c r="J219" s="326"/>
    </row>
    <row r="220" spans="1:10" ht="15" customHeight="1" x14ac:dyDescent="0.2">
      <c r="A220" s="327"/>
      <c r="B220" s="328"/>
      <c r="C220" s="328"/>
      <c r="D220" s="328"/>
      <c r="E220" s="328"/>
      <c r="F220" s="328"/>
      <c r="G220" s="328"/>
      <c r="H220" s="328"/>
      <c r="I220" s="328"/>
      <c r="J220" s="329"/>
    </row>
    <row r="221" spans="1:10" s="61" customFormat="1" ht="12.75" customHeight="1" x14ac:dyDescent="0.2">
      <c r="A221" s="434"/>
      <c r="B221" s="435"/>
      <c r="C221" s="435"/>
      <c r="D221" s="435"/>
      <c r="E221" s="435"/>
      <c r="F221" s="435"/>
      <c r="G221" s="435"/>
      <c r="H221" s="435"/>
      <c r="I221" s="435"/>
      <c r="J221" s="436"/>
    </row>
    <row r="222" spans="1:10" s="61" customFormat="1" x14ac:dyDescent="0.2">
      <c r="A222" s="437"/>
      <c r="B222" s="438"/>
      <c r="C222" s="438"/>
      <c r="D222" s="438"/>
      <c r="E222" s="438"/>
      <c r="F222" s="438"/>
      <c r="G222" s="438"/>
      <c r="H222" s="438"/>
      <c r="I222" s="438"/>
      <c r="J222" s="439"/>
    </row>
    <row r="223" spans="1:10" s="61" customFormat="1" x14ac:dyDescent="0.2">
      <c r="A223" s="437"/>
      <c r="B223" s="438"/>
      <c r="C223" s="438"/>
      <c r="D223" s="438"/>
      <c r="E223" s="438"/>
      <c r="F223" s="438"/>
      <c r="G223" s="438"/>
      <c r="H223" s="438"/>
      <c r="I223" s="438"/>
      <c r="J223" s="439"/>
    </row>
    <row r="224" spans="1:10" s="61" customFormat="1" x14ac:dyDescent="0.2">
      <c r="A224" s="437"/>
      <c r="B224" s="438"/>
      <c r="C224" s="438"/>
      <c r="D224" s="438"/>
      <c r="E224" s="438"/>
      <c r="F224" s="438"/>
      <c r="G224" s="438"/>
      <c r="H224" s="438"/>
      <c r="I224" s="438"/>
      <c r="J224" s="439"/>
    </row>
    <row r="225" spans="1:10" s="61" customFormat="1" x14ac:dyDescent="0.2">
      <c r="A225" s="437"/>
      <c r="B225" s="438"/>
      <c r="C225" s="438"/>
      <c r="D225" s="438"/>
      <c r="E225" s="438"/>
      <c r="F225" s="438"/>
      <c r="G225" s="438"/>
      <c r="H225" s="438"/>
      <c r="I225" s="438"/>
      <c r="J225" s="439"/>
    </row>
    <row r="226" spans="1:10" s="61" customFormat="1" x14ac:dyDescent="0.2">
      <c r="A226" s="437"/>
      <c r="B226" s="438"/>
      <c r="C226" s="438"/>
      <c r="D226" s="438"/>
      <c r="E226" s="438"/>
      <c r="F226" s="438"/>
      <c r="G226" s="438"/>
      <c r="H226" s="438"/>
      <c r="I226" s="438"/>
      <c r="J226" s="439"/>
    </row>
    <row r="227" spans="1:10" s="61" customFormat="1" x14ac:dyDescent="0.2">
      <c r="A227" s="437"/>
      <c r="B227" s="438"/>
      <c r="C227" s="438"/>
      <c r="D227" s="438"/>
      <c r="E227" s="438"/>
      <c r="F227" s="438"/>
      <c r="G227" s="438"/>
      <c r="H227" s="438"/>
      <c r="I227" s="438"/>
      <c r="J227" s="439"/>
    </row>
    <row r="228" spans="1:10" s="61" customFormat="1" x14ac:dyDescent="0.2">
      <c r="A228" s="437"/>
      <c r="B228" s="438"/>
      <c r="C228" s="438"/>
      <c r="D228" s="438"/>
      <c r="E228" s="438"/>
      <c r="F228" s="438"/>
      <c r="G228" s="438"/>
      <c r="H228" s="438"/>
      <c r="I228" s="438"/>
      <c r="J228" s="439"/>
    </row>
    <row r="229" spans="1:10" s="61" customFormat="1" x14ac:dyDescent="0.2">
      <c r="A229" s="437"/>
      <c r="B229" s="438"/>
      <c r="C229" s="438"/>
      <c r="D229" s="438"/>
      <c r="E229" s="438"/>
      <c r="F229" s="438"/>
      <c r="G229" s="438"/>
      <c r="H229" s="438"/>
      <c r="I229" s="438"/>
      <c r="J229" s="439"/>
    </row>
    <row r="230" spans="1:10" s="61" customFormat="1" x14ac:dyDescent="0.2">
      <c r="A230" s="437"/>
      <c r="B230" s="438"/>
      <c r="C230" s="438"/>
      <c r="D230" s="438"/>
      <c r="E230" s="438"/>
      <c r="F230" s="438"/>
      <c r="G230" s="438"/>
      <c r="H230" s="438"/>
      <c r="I230" s="438"/>
      <c r="J230" s="439"/>
    </row>
    <row r="231" spans="1:10" s="61" customFormat="1" x14ac:dyDescent="0.2">
      <c r="A231" s="437"/>
      <c r="B231" s="438"/>
      <c r="C231" s="438"/>
      <c r="D231" s="438"/>
      <c r="E231" s="438"/>
      <c r="F231" s="438"/>
      <c r="G231" s="438"/>
      <c r="H231" s="438"/>
      <c r="I231" s="438"/>
      <c r="J231" s="439"/>
    </row>
    <row r="232" spans="1:10" s="61" customFormat="1" x14ac:dyDescent="0.2">
      <c r="A232" s="437"/>
      <c r="B232" s="438"/>
      <c r="C232" s="438"/>
      <c r="D232" s="438"/>
      <c r="E232" s="438"/>
      <c r="F232" s="438"/>
      <c r="G232" s="438"/>
      <c r="H232" s="438"/>
      <c r="I232" s="438"/>
      <c r="J232" s="439"/>
    </row>
    <row r="233" spans="1:10" s="61" customFormat="1" x14ac:dyDescent="0.2">
      <c r="A233" s="437"/>
      <c r="B233" s="438"/>
      <c r="C233" s="438"/>
      <c r="D233" s="438"/>
      <c r="E233" s="438"/>
      <c r="F233" s="438"/>
      <c r="G233" s="438"/>
      <c r="H233" s="438"/>
      <c r="I233" s="438"/>
      <c r="J233" s="439"/>
    </row>
    <row r="234" spans="1:10" s="61" customFormat="1" ht="12.75" customHeight="1" x14ac:dyDescent="0.2">
      <c r="A234" s="437"/>
      <c r="B234" s="438"/>
      <c r="C234" s="438"/>
      <c r="D234" s="438"/>
      <c r="E234" s="438"/>
      <c r="F234" s="438"/>
      <c r="G234" s="438"/>
      <c r="H234" s="438"/>
      <c r="I234" s="438"/>
      <c r="J234" s="439"/>
    </row>
    <row r="235" spans="1:10" s="61" customFormat="1" x14ac:dyDescent="0.2">
      <c r="A235" s="437"/>
      <c r="B235" s="438"/>
      <c r="C235" s="438"/>
      <c r="D235" s="438"/>
      <c r="E235" s="438"/>
      <c r="F235" s="438"/>
      <c r="G235" s="438"/>
      <c r="H235" s="438"/>
      <c r="I235" s="438"/>
      <c r="J235" s="439"/>
    </row>
    <row r="236" spans="1:10" s="61" customFormat="1" x14ac:dyDescent="0.2">
      <c r="A236" s="437"/>
      <c r="B236" s="438"/>
      <c r="C236" s="438"/>
      <c r="D236" s="438"/>
      <c r="E236" s="438"/>
      <c r="F236" s="438"/>
      <c r="G236" s="438"/>
      <c r="H236" s="438"/>
      <c r="I236" s="438"/>
      <c r="J236" s="439"/>
    </row>
    <row r="237" spans="1:10" s="61" customFormat="1" x14ac:dyDescent="0.2">
      <c r="A237" s="437"/>
      <c r="B237" s="438"/>
      <c r="C237" s="438"/>
      <c r="D237" s="438"/>
      <c r="E237" s="438"/>
      <c r="F237" s="438"/>
      <c r="G237" s="438"/>
      <c r="H237" s="438"/>
      <c r="I237" s="438"/>
      <c r="J237" s="439"/>
    </row>
    <row r="238" spans="1:10" s="61" customFormat="1" x14ac:dyDescent="0.2">
      <c r="A238" s="437"/>
      <c r="B238" s="438"/>
      <c r="C238" s="438"/>
      <c r="D238" s="438"/>
      <c r="E238" s="438"/>
      <c r="F238" s="438"/>
      <c r="G238" s="438"/>
      <c r="H238" s="438"/>
      <c r="I238" s="438"/>
      <c r="J238" s="439"/>
    </row>
    <row r="239" spans="1:10" s="61" customFormat="1" x14ac:dyDescent="0.2">
      <c r="A239" s="437"/>
      <c r="B239" s="438"/>
      <c r="C239" s="438"/>
      <c r="D239" s="438"/>
      <c r="E239" s="438"/>
      <c r="F239" s="438"/>
      <c r="G239" s="438"/>
      <c r="H239" s="438"/>
      <c r="I239" s="438"/>
      <c r="J239" s="439"/>
    </row>
    <row r="240" spans="1:10" s="61" customFormat="1" ht="13.5" thickBot="1" x14ac:dyDescent="0.25">
      <c r="A240" s="440"/>
      <c r="B240" s="441"/>
      <c r="C240" s="441"/>
      <c r="D240" s="441"/>
      <c r="E240" s="441"/>
      <c r="F240" s="441"/>
      <c r="G240" s="441"/>
      <c r="H240" s="441"/>
      <c r="I240" s="441"/>
      <c r="J240" s="442"/>
    </row>
    <row r="241" spans="1:10" ht="13.5" thickTop="1" x14ac:dyDescent="0.2">
      <c r="A241" s="368" t="s">
        <v>588</v>
      </c>
      <c r="B241" s="369"/>
      <c r="C241" s="369"/>
      <c r="D241" s="369"/>
      <c r="E241" s="369"/>
      <c r="F241" s="369"/>
      <c r="G241" s="369"/>
      <c r="H241" s="369"/>
      <c r="I241" s="369"/>
      <c r="J241" s="370"/>
    </row>
    <row r="242" spans="1:10" x14ac:dyDescent="0.2">
      <c r="A242" s="371"/>
      <c r="B242" s="372"/>
      <c r="C242" s="372"/>
      <c r="D242" s="372"/>
      <c r="E242" s="372"/>
      <c r="F242" s="372"/>
      <c r="G242" s="372"/>
      <c r="H242" s="372"/>
      <c r="I242" s="372"/>
      <c r="J242" s="373"/>
    </row>
    <row r="243" spans="1:10" ht="21.6" customHeight="1" x14ac:dyDescent="0.2">
      <c r="A243" s="374" t="s">
        <v>555</v>
      </c>
      <c r="B243" s="375"/>
      <c r="C243" s="375"/>
      <c r="D243" s="375"/>
      <c r="E243" s="375"/>
      <c r="F243" s="375"/>
      <c r="G243" s="375"/>
      <c r="H243" s="375"/>
      <c r="I243" s="375"/>
      <c r="J243" s="376"/>
    </row>
    <row r="244" spans="1:10" ht="54" customHeight="1" x14ac:dyDescent="0.2">
      <c r="A244" s="377"/>
      <c r="B244" s="378"/>
      <c r="C244" s="378"/>
      <c r="D244" s="378"/>
      <c r="E244" s="378"/>
      <c r="F244" s="378"/>
      <c r="G244" s="378"/>
      <c r="H244" s="378"/>
      <c r="I244" s="378"/>
      <c r="J244" s="379"/>
    </row>
    <row r="245" spans="1:10" x14ac:dyDescent="0.2">
      <c r="A245" s="380"/>
      <c r="B245" s="381"/>
      <c r="C245" s="381"/>
      <c r="D245" s="381"/>
      <c r="E245" s="381"/>
      <c r="F245" s="381"/>
      <c r="G245" s="381"/>
      <c r="H245" s="381"/>
      <c r="I245" s="381"/>
      <c r="J245" s="382"/>
    </row>
    <row r="246" spans="1:10" x14ac:dyDescent="0.2">
      <c r="A246" s="180"/>
      <c r="B246" s="181"/>
      <c r="C246" s="182"/>
      <c r="D246" s="178"/>
      <c r="E246" s="178"/>
      <c r="F246" s="178"/>
      <c r="G246" s="178"/>
      <c r="H246" s="183"/>
      <c r="I246" s="182"/>
      <c r="J246" s="179"/>
    </row>
    <row r="247" spans="1:10" x14ac:dyDescent="0.2">
      <c r="A247" s="391" t="s">
        <v>539</v>
      </c>
      <c r="B247" s="392"/>
      <c r="C247" s="392"/>
      <c r="D247" s="392"/>
      <c r="E247" s="392"/>
      <c r="F247" s="392"/>
      <c r="G247" s="392"/>
      <c r="H247" s="392"/>
      <c r="I247" s="392"/>
      <c r="J247" s="393"/>
    </row>
    <row r="248" spans="1:10" x14ac:dyDescent="0.2">
      <c r="A248" s="394"/>
      <c r="B248" s="395"/>
      <c r="C248" s="395"/>
      <c r="D248" s="395"/>
      <c r="E248" s="395"/>
      <c r="F248" s="395"/>
      <c r="G248" s="395"/>
      <c r="H248" s="395"/>
      <c r="I248" s="395"/>
      <c r="J248" s="396"/>
    </row>
    <row r="249" spans="1:10" x14ac:dyDescent="0.2">
      <c r="A249" s="397" t="s">
        <v>538</v>
      </c>
      <c r="B249" s="398"/>
      <c r="C249" s="398"/>
      <c r="D249" s="398"/>
      <c r="E249" s="398"/>
      <c r="F249" s="398"/>
      <c r="G249" s="398"/>
      <c r="H249" s="398"/>
      <c r="I249" s="398"/>
      <c r="J249" s="399"/>
    </row>
    <row r="250" spans="1:10" x14ac:dyDescent="0.2">
      <c r="A250" s="400"/>
      <c r="B250" s="401"/>
      <c r="C250" s="401"/>
      <c r="D250" s="401"/>
      <c r="E250" s="401"/>
      <c r="F250" s="401"/>
      <c r="G250" s="401"/>
      <c r="H250" s="401"/>
      <c r="I250" s="401"/>
      <c r="J250" s="402"/>
    </row>
    <row r="251" spans="1:10" x14ac:dyDescent="0.2">
      <c r="A251" s="400"/>
      <c r="B251" s="401"/>
      <c r="C251" s="401"/>
      <c r="D251" s="401"/>
      <c r="E251" s="401"/>
      <c r="F251" s="401"/>
      <c r="G251" s="401"/>
      <c r="H251" s="401"/>
      <c r="I251" s="401"/>
      <c r="J251" s="402"/>
    </row>
    <row r="252" spans="1:10" ht="71.45" customHeight="1" x14ac:dyDescent="0.2">
      <c r="A252" s="403"/>
      <c r="B252" s="404"/>
      <c r="C252" s="404"/>
      <c r="D252" s="404"/>
      <c r="E252" s="404"/>
      <c r="F252" s="404"/>
      <c r="G252" s="404"/>
      <c r="H252" s="404"/>
      <c r="I252" s="404"/>
      <c r="J252" s="405"/>
    </row>
    <row r="253" spans="1:10" x14ac:dyDescent="0.2">
      <c r="A253" s="348" t="s">
        <v>552</v>
      </c>
      <c r="B253" s="349"/>
      <c r="C253" s="349"/>
      <c r="D253" s="349"/>
      <c r="E253" s="349"/>
      <c r="F253" s="350"/>
      <c r="G253" s="350"/>
      <c r="H253" s="350"/>
      <c r="I253" s="350"/>
      <c r="J253" s="351"/>
    </row>
    <row r="254" spans="1:10" x14ac:dyDescent="0.2">
      <c r="A254" s="397" t="s">
        <v>540</v>
      </c>
      <c r="B254" s="398"/>
      <c r="C254" s="398"/>
      <c r="D254" s="398"/>
      <c r="E254" s="398"/>
      <c r="F254" s="398"/>
      <c r="G254" s="398"/>
      <c r="H254" s="398"/>
      <c r="I254" s="398"/>
      <c r="J254" s="399"/>
    </row>
    <row r="255" spans="1:10" x14ac:dyDescent="0.2">
      <c r="A255" s="400"/>
      <c r="B255" s="401"/>
      <c r="C255" s="401"/>
      <c r="D255" s="401"/>
      <c r="E255" s="401"/>
      <c r="F255" s="401"/>
      <c r="G255" s="401"/>
      <c r="H255" s="401"/>
      <c r="I255" s="401"/>
      <c r="J255" s="402"/>
    </row>
    <row r="256" spans="1:10" x14ac:dyDescent="0.2">
      <c r="A256" s="400"/>
      <c r="B256" s="401"/>
      <c r="C256" s="401"/>
      <c r="D256" s="401"/>
      <c r="E256" s="401"/>
      <c r="F256" s="401"/>
      <c r="G256" s="401"/>
      <c r="H256" s="401"/>
      <c r="I256" s="401"/>
      <c r="J256" s="402"/>
    </row>
    <row r="257" spans="1:10" x14ac:dyDescent="0.2">
      <c r="A257" s="400"/>
      <c r="B257" s="401"/>
      <c r="C257" s="401"/>
      <c r="D257" s="401"/>
      <c r="E257" s="401"/>
      <c r="F257" s="401"/>
      <c r="G257" s="401"/>
      <c r="H257" s="401"/>
      <c r="I257" s="401"/>
      <c r="J257" s="402"/>
    </row>
    <row r="258" spans="1:10" x14ac:dyDescent="0.2">
      <c r="A258" s="403"/>
      <c r="B258" s="404"/>
      <c r="C258" s="404"/>
      <c r="D258" s="404"/>
      <c r="E258" s="404"/>
      <c r="F258" s="404"/>
      <c r="G258" s="404"/>
      <c r="H258" s="404"/>
      <c r="I258" s="404"/>
      <c r="J258" s="405"/>
    </row>
    <row r="259" spans="1:10" x14ac:dyDescent="0.2">
      <c r="A259" s="330"/>
      <c r="B259" s="331"/>
      <c r="C259" s="331"/>
      <c r="D259" s="331"/>
      <c r="E259" s="331"/>
      <c r="F259" s="331"/>
      <c r="G259" s="331"/>
      <c r="H259" s="331"/>
      <c r="I259" s="331"/>
      <c r="J259" s="332"/>
    </row>
    <row r="260" spans="1:10" x14ac:dyDescent="0.2">
      <c r="A260" s="330"/>
      <c r="B260" s="331"/>
      <c r="C260" s="331"/>
      <c r="D260" s="331"/>
      <c r="E260" s="331"/>
      <c r="F260" s="331"/>
      <c r="G260" s="331"/>
      <c r="H260" s="331"/>
      <c r="I260" s="331"/>
      <c r="J260" s="332"/>
    </row>
    <row r="261" spans="1:10" x14ac:dyDescent="0.2">
      <c r="A261" s="330"/>
      <c r="B261" s="331"/>
      <c r="C261" s="331"/>
      <c r="D261" s="331"/>
      <c r="E261" s="331"/>
      <c r="F261" s="331"/>
      <c r="G261" s="331"/>
      <c r="H261" s="331"/>
      <c r="I261" s="331"/>
      <c r="J261" s="332"/>
    </row>
    <row r="262" spans="1:10" x14ac:dyDescent="0.2">
      <c r="A262" s="330"/>
      <c r="B262" s="331"/>
      <c r="C262" s="331"/>
      <c r="D262" s="331"/>
      <c r="E262" s="331"/>
      <c r="F262" s="331"/>
      <c r="G262" s="331"/>
      <c r="H262" s="331"/>
      <c r="I262" s="331"/>
      <c r="J262" s="332"/>
    </row>
    <row r="263" spans="1:10" x14ac:dyDescent="0.2">
      <c r="A263" s="330"/>
      <c r="B263" s="331"/>
      <c r="C263" s="331"/>
      <c r="D263" s="331"/>
      <c r="E263" s="331"/>
      <c r="F263" s="331"/>
      <c r="G263" s="331"/>
      <c r="H263" s="331"/>
      <c r="I263" s="331"/>
      <c r="J263" s="332"/>
    </row>
    <row r="264" spans="1:10" x14ac:dyDescent="0.2">
      <c r="A264" s="330"/>
      <c r="B264" s="331"/>
      <c r="C264" s="331"/>
      <c r="D264" s="331"/>
      <c r="E264" s="331"/>
      <c r="F264" s="331"/>
      <c r="G264" s="331"/>
      <c r="H264" s="331"/>
      <c r="I264" s="331"/>
      <c r="J264" s="332"/>
    </row>
    <row r="265" spans="1:10" x14ac:dyDescent="0.2">
      <c r="A265" s="330"/>
      <c r="B265" s="331"/>
      <c r="C265" s="331"/>
      <c r="D265" s="331"/>
      <c r="E265" s="331"/>
      <c r="F265" s="331"/>
      <c r="G265" s="331"/>
      <c r="H265" s="331"/>
      <c r="I265" s="331"/>
      <c r="J265" s="332"/>
    </row>
    <row r="266" spans="1:10" x14ac:dyDescent="0.2">
      <c r="A266" s="330"/>
      <c r="B266" s="331"/>
      <c r="C266" s="331"/>
      <c r="D266" s="331"/>
      <c r="E266" s="331"/>
      <c r="F266" s="331"/>
      <c r="G266" s="331"/>
      <c r="H266" s="331"/>
      <c r="I266" s="331"/>
      <c r="J266" s="332"/>
    </row>
    <row r="267" spans="1:10" x14ac:dyDescent="0.2">
      <c r="A267" s="330"/>
      <c r="B267" s="331"/>
      <c r="C267" s="331"/>
      <c r="D267" s="331"/>
      <c r="E267" s="331"/>
      <c r="F267" s="331"/>
      <c r="G267" s="331"/>
      <c r="H267" s="331"/>
      <c r="I267" s="331"/>
      <c r="J267" s="332"/>
    </row>
    <row r="268" spans="1:10" x14ac:dyDescent="0.2">
      <c r="A268" s="330"/>
      <c r="B268" s="331"/>
      <c r="C268" s="331"/>
      <c r="D268" s="331"/>
      <c r="E268" s="331"/>
      <c r="F268" s="331"/>
      <c r="G268" s="331"/>
      <c r="H268" s="331"/>
      <c r="I268" s="331"/>
      <c r="J268" s="332"/>
    </row>
    <row r="269" spans="1:10" x14ac:dyDescent="0.2">
      <c r="A269" s="330"/>
      <c r="B269" s="331"/>
      <c r="C269" s="331"/>
      <c r="D269" s="331"/>
      <c r="E269" s="331"/>
      <c r="F269" s="331"/>
      <c r="G269" s="331"/>
      <c r="H269" s="331"/>
      <c r="I269" s="331"/>
      <c r="J269" s="332"/>
    </row>
    <row r="270" spans="1:10" x14ac:dyDescent="0.2">
      <c r="A270" s="330"/>
      <c r="B270" s="331"/>
      <c r="C270" s="331"/>
      <c r="D270" s="331"/>
      <c r="E270" s="331"/>
      <c r="F270" s="331"/>
      <c r="G270" s="331"/>
      <c r="H270" s="331"/>
      <c r="I270" s="331"/>
      <c r="J270" s="332"/>
    </row>
    <row r="271" spans="1:10" x14ac:dyDescent="0.2">
      <c r="A271" s="330"/>
      <c r="B271" s="331"/>
      <c r="C271" s="331"/>
      <c r="D271" s="331"/>
      <c r="E271" s="331"/>
      <c r="F271" s="331"/>
      <c r="G271" s="331"/>
      <c r="H271" s="331"/>
      <c r="I271" s="331"/>
      <c r="J271" s="332"/>
    </row>
    <row r="272" spans="1:10" x14ac:dyDescent="0.2">
      <c r="A272" s="330"/>
      <c r="B272" s="331"/>
      <c r="C272" s="331"/>
      <c r="D272" s="331"/>
      <c r="E272" s="331"/>
      <c r="F272" s="331"/>
      <c r="G272" s="331"/>
      <c r="H272" s="331"/>
      <c r="I272" s="331"/>
      <c r="J272" s="332"/>
    </row>
    <row r="273" spans="1:10" x14ac:dyDescent="0.2">
      <c r="A273" s="330"/>
      <c r="B273" s="331"/>
      <c r="C273" s="331"/>
      <c r="D273" s="331"/>
      <c r="E273" s="331"/>
      <c r="F273" s="331"/>
      <c r="G273" s="331"/>
      <c r="H273" s="331"/>
      <c r="I273" s="331"/>
      <c r="J273" s="332"/>
    </row>
    <row r="274" spans="1:10" x14ac:dyDescent="0.2">
      <c r="A274" s="330"/>
      <c r="B274" s="331"/>
      <c r="C274" s="331"/>
      <c r="D274" s="331"/>
      <c r="E274" s="331"/>
      <c r="F274" s="331"/>
      <c r="G274" s="331"/>
      <c r="H274" s="331"/>
      <c r="I274" s="331"/>
      <c r="J274" s="332"/>
    </row>
    <row r="275" spans="1:10" x14ac:dyDescent="0.2">
      <c r="A275" s="330"/>
      <c r="B275" s="331"/>
      <c r="C275" s="331"/>
      <c r="D275" s="331"/>
      <c r="E275" s="331"/>
      <c r="F275" s="331"/>
      <c r="G275" s="331"/>
      <c r="H275" s="331"/>
      <c r="I275" s="331"/>
      <c r="J275" s="332"/>
    </row>
    <row r="276" spans="1:10" x14ac:dyDescent="0.2">
      <c r="A276" s="330"/>
      <c r="B276" s="331"/>
      <c r="C276" s="331"/>
      <c r="D276" s="331"/>
      <c r="E276" s="331"/>
      <c r="F276" s="331"/>
      <c r="G276" s="331"/>
      <c r="H276" s="331"/>
      <c r="I276" s="331"/>
      <c r="J276" s="332"/>
    </row>
    <row r="277" spans="1:10" x14ac:dyDescent="0.2">
      <c r="A277" s="330"/>
      <c r="B277" s="331"/>
      <c r="C277" s="331"/>
      <c r="D277" s="331"/>
      <c r="E277" s="331"/>
      <c r="F277" s="331"/>
      <c r="G277" s="331"/>
      <c r="H277" s="331"/>
      <c r="I277" s="331"/>
      <c r="J277" s="332"/>
    </row>
    <row r="278" spans="1:10" x14ac:dyDescent="0.2">
      <c r="A278" s="330"/>
      <c r="B278" s="331"/>
      <c r="C278" s="331"/>
      <c r="D278" s="331"/>
      <c r="E278" s="331"/>
      <c r="F278" s="331"/>
      <c r="G278" s="331"/>
      <c r="H278" s="331"/>
      <c r="I278" s="331"/>
      <c r="J278" s="332"/>
    </row>
    <row r="279" spans="1:10" x14ac:dyDescent="0.2">
      <c r="A279" s="55"/>
      <c r="B279" s="56"/>
      <c r="C279" s="57"/>
      <c r="D279" s="58"/>
      <c r="E279" s="58"/>
      <c r="F279" s="58"/>
      <c r="G279" s="58"/>
      <c r="H279" s="59"/>
      <c r="I279" s="57"/>
      <c r="J279" s="60"/>
    </row>
    <row r="280" spans="1:10" x14ac:dyDescent="0.2">
      <c r="A280" s="431" t="s">
        <v>541</v>
      </c>
      <c r="B280" s="432"/>
      <c r="C280" s="432"/>
      <c r="D280" s="432"/>
      <c r="E280" s="432"/>
      <c r="F280" s="432"/>
      <c r="G280" s="432"/>
      <c r="H280" s="432"/>
      <c r="I280" s="432"/>
      <c r="J280" s="433"/>
    </row>
    <row r="281" spans="1:10" x14ac:dyDescent="0.2">
      <c r="A281" s="394"/>
      <c r="B281" s="395"/>
      <c r="C281" s="395"/>
      <c r="D281" s="395"/>
      <c r="E281" s="395"/>
      <c r="F281" s="395"/>
      <c r="G281" s="395"/>
      <c r="H281" s="395"/>
      <c r="I281" s="395"/>
      <c r="J281" s="396"/>
    </row>
    <row r="282" spans="1:10" ht="34.15" customHeight="1" x14ac:dyDescent="0.2">
      <c r="A282" s="397" t="s">
        <v>543</v>
      </c>
      <c r="B282" s="398"/>
      <c r="C282" s="398"/>
      <c r="D282" s="398"/>
      <c r="E282" s="398"/>
      <c r="F282" s="398"/>
      <c r="G282" s="398"/>
      <c r="H282" s="398"/>
      <c r="I282" s="398"/>
      <c r="J282" s="399"/>
    </row>
    <row r="283" spans="1:10" ht="28.15" customHeight="1" x14ac:dyDescent="0.2">
      <c r="A283" s="400"/>
      <c r="B283" s="401"/>
      <c r="C283" s="401"/>
      <c r="D283" s="401"/>
      <c r="E283" s="401"/>
      <c r="F283" s="401"/>
      <c r="G283" s="401"/>
      <c r="H283" s="401"/>
      <c r="I283" s="401"/>
      <c r="J283" s="402"/>
    </row>
    <row r="284" spans="1:10" ht="22.9" customHeight="1" x14ac:dyDescent="0.2">
      <c r="A284" s="400"/>
      <c r="B284" s="401"/>
      <c r="C284" s="401"/>
      <c r="D284" s="401"/>
      <c r="E284" s="401"/>
      <c r="F284" s="401"/>
      <c r="G284" s="401"/>
      <c r="H284" s="401"/>
      <c r="I284" s="401"/>
      <c r="J284" s="402"/>
    </row>
    <row r="285" spans="1:10" ht="22.15" customHeight="1" x14ac:dyDescent="0.2">
      <c r="A285" s="403"/>
      <c r="B285" s="404"/>
      <c r="C285" s="404"/>
      <c r="D285" s="404"/>
      <c r="E285" s="404"/>
      <c r="F285" s="404"/>
      <c r="G285" s="404"/>
      <c r="H285" s="404"/>
      <c r="I285" s="404"/>
      <c r="J285" s="405"/>
    </row>
    <row r="286" spans="1:10" x14ac:dyDescent="0.2">
      <c r="A286" s="348" t="s">
        <v>553</v>
      </c>
      <c r="B286" s="349"/>
      <c r="C286" s="349"/>
      <c r="D286" s="349"/>
      <c r="E286" s="349"/>
      <c r="F286" s="350"/>
      <c r="G286" s="350"/>
      <c r="H286" s="350"/>
      <c r="I286" s="350"/>
      <c r="J286" s="351"/>
    </row>
    <row r="287" spans="1:10" x14ac:dyDescent="0.2">
      <c r="A287" s="397" t="s">
        <v>561</v>
      </c>
      <c r="B287" s="398"/>
      <c r="C287" s="398"/>
      <c r="D287" s="398"/>
      <c r="E287" s="398"/>
      <c r="F287" s="398"/>
      <c r="G287" s="398"/>
      <c r="H287" s="398"/>
      <c r="I287" s="398"/>
      <c r="J287" s="399"/>
    </row>
    <row r="288" spans="1:10" x14ac:dyDescent="0.2">
      <c r="A288" s="400"/>
      <c r="B288" s="401"/>
      <c r="C288" s="401"/>
      <c r="D288" s="401"/>
      <c r="E288" s="401"/>
      <c r="F288" s="401"/>
      <c r="G288" s="401"/>
      <c r="H288" s="401"/>
      <c r="I288" s="401"/>
      <c r="J288" s="402"/>
    </row>
    <row r="289" spans="1:10" x14ac:dyDescent="0.2">
      <c r="A289" s="400"/>
      <c r="B289" s="401"/>
      <c r="C289" s="401"/>
      <c r="D289" s="401"/>
      <c r="E289" s="401"/>
      <c r="F289" s="401"/>
      <c r="G289" s="401"/>
      <c r="H289" s="401"/>
      <c r="I289" s="401"/>
      <c r="J289" s="402"/>
    </row>
    <row r="290" spans="1:10" x14ac:dyDescent="0.2">
      <c r="A290" s="400"/>
      <c r="B290" s="401"/>
      <c r="C290" s="401"/>
      <c r="D290" s="401"/>
      <c r="E290" s="401"/>
      <c r="F290" s="401"/>
      <c r="G290" s="401"/>
      <c r="H290" s="401"/>
      <c r="I290" s="401"/>
      <c r="J290" s="402"/>
    </row>
    <row r="291" spans="1:10" x14ac:dyDescent="0.2">
      <c r="A291" s="403"/>
      <c r="B291" s="404"/>
      <c r="C291" s="404"/>
      <c r="D291" s="404"/>
      <c r="E291" s="404"/>
      <c r="F291" s="404"/>
      <c r="G291" s="404"/>
      <c r="H291" s="404"/>
      <c r="I291" s="404"/>
      <c r="J291" s="405"/>
    </row>
    <row r="292" spans="1:10" x14ac:dyDescent="0.2">
      <c r="A292" s="330"/>
      <c r="B292" s="331"/>
      <c r="C292" s="331"/>
      <c r="D292" s="331"/>
      <c r="E292" s="331"/>
      <c r="F292" s="331"/>
      <c r="G292" s="331"/>
      <c r="H292" s="331"/>
      <c r="I292" s="331"/>
      <c r="J292" s="332"/>
    </row>
    <row r="293" spans="1:10" x14ac:dyDescent="0.2">
      <c r="A293" s="330"/>
      <c r="B293" s="331"/>
      <c r="C293" s="331"/>
      <c r="D293" s="331"/>
      <c r="E293" s="331"/>
      <c r="F293" s="331"/>
      <c r="G293" s="331"/>
      <c r="H293" s="331"/>
      <c r="I293" s="331"/>
      <c r="J293" s="332"/>
    </row>
    <row r="294" spans="1:10" x14ac:dyDescent="0.2">
      <c r="A294" s="330"/>
      <c r="B294" s="331"/>
      <c r="C294" s="331"/>
      <c r="D294" s="331"/>
      <c r="E294" s="331"/>
      <c r="F294" s="331"/>
      <c r="G294" s="331"/>
      <c r="H294" s="331"/>
      <c r="I294" s="331"/>
      <c r="J294" s="332"/>
    </row>
    <row r="295" spans="1:10" x14ac:dyDescent="0.2">
      <c r="A295" s="330"/>
      <c r="B295" s="331"/>
      <c r="C295" s="331"/>
      <c r="D295" s="331"/>
      <c r="E295" s="331"/>
      <c r="F295" s="331"/>
      <c r="G295" s="331"/>
      <c r="H295" s="331"/>
      <c r="I295" s="331"/>
      <c r="J295" s="332"/>
    </row>
    <row r="296" spans="1:10" x14ac:dyDescent="0.2">
      <c r="A296" s="330"/>
      <c r="B296" s="331"/>
      <c r="C296" s="331"/>
      <c r="D296" s="331"/>
      <c r="E296" s="331"/>
      <c r="F296" s="331"/>
      <c r="G296" s="331"/>
      <c r="H296" s="331"/>
      <c r="I296" s="331"/>
      <c r="J296" s="332"/>
    </row>
    <row r="297" spans="1:10" x14ac:dyDescent="0.2">
      <c r="A297" s="330"/>
      <c r="B297" s="331"/>
      <c r="C297" s="331"/>
      <c r="D297" s="331"/>
      <c r="E297" s="331"/>
      <c r="F297" s="331"/>
      <c r="G297" s="331"/>
      <c r="H297" s="331"/>
      <c r="I297" s="331"/>
      <c r="J297" s="332"/>
    </row>
    <row r="298" spans="1:10" x14ac:dyDescent="0.2">
      <c r="A298" s="330"/>
      <c r="B298" s="331"/>
      <c r="C298" s="331"/>
      <c r="D298" s="331"/>
      <c r="E298" s="331"/>
      <c r="F298" s="331"/>
      <c r="G298" s="331"/>
      <c r="H298" s="331"/>
      <c r="I298" s="331"/>
      <c r="J298" s="332"/>
    </row>
    <row r="299" spans="1:10" x14ac:dyDescent="0.2">
      <c r="A299" s="330"/>
      <c r="B299" s="331"/>
      <c r="C299" s="331"/>
      <c r="D299" s="331"/>
      <c r="E299" s="331"/>
      <c r="F299" s="331"/>
      <c r="G299" s="331"/>
      <c r="H299" s="331"/>
      <c r="I299" s="331"/>
      <c r="J299" s="332"/>
    </row>
    <row r="300" spans="1:10" x14ac:dyDescent="0.2">
      <c r="A300" s="330"/>
      <c r="B300" s="331"/>
      <c r="C300" s="331"/>
      <c r="D300" s="331"/>
      <c r="E300" s="331"/>
      <c r="F300" s="331"/>
      <c r="G300" s="331"/>
      <c r="H300" s="331"/>
      <c r="I300" s="331"/>
      <c r="J300" s="332"/>
    </row>
    <row r="301" spans="1:10" x14ac:dyDescent="0.2">
      <c r="A301" s="330"/>
      <c r="B301" s="331"/>
      <c r="C301" s="331"/>
      <c r="D301" s="331"/>
      <c r="E301" s="331"/>
      <c r="F301" s="331"/>
      <c r="G301" s="331"/>
      <c r="H301" s="331"/>
      <c r="I301" s="331"/>
      <c r="J301" s="332"/>
    </row>
    <row r="302" spans="1:10" x14ac:dyDescent="0.2">
      <c r="A302" s="330"/>
      <c r="B302" s="331"/>
      <c r="C302" s="331"/>
      <c r="D302" s="331"/>
      <c r="E302" s="331"/>
      <c r="F302" s="331"/>
      <c r="G302" s="331"/>
      <c r="H302" s="331"/>
      <c r="I302" s="331"/>
      <c r="J302" s="332"/>
    </row>
    <row r="303" spans="1:10" x14ac:dyDescent="0.2">
      <c r="A303" s="330"/>
      <c r="B303" s="331"/>
      <c r="C303" s="331"/>
      <c r="D303" s="331"/>
      <c r="E303" s="331"/>
      <c r="F303" s="331"/>
      <c r="G303" s="331"/>
      <c r="H303" s="331"/>
      <c r="I303" s="331"/>
      <c r="J303" s="332"/>
    </row>
    <row r="304" spans="1:10" x14ac:dyDescent="0.2">
      <c r="A304" s="330"/>
      <c r="B304" s="331"/>
      <c r="C304" s="331"/>
      <c r="D304" s="331"/>
      <c r="E304" s="331"/>
      <c r="F304" s="331"/>
      <c r="G304" s="331"/>
      <c r="H304" s="331"/>
      <c r="I304" s="331"/>
      <c r="J304" s="332"/>
    </row>
    <row r="305" spans="1:10" x14ac:dyDescent="0.2">
      <c r="A305" s="330"/>
      <c r="B305" s="331"/>
      <c r="C305" s="331"/>
      <c r="D305" s="331"/>
      <c r="E305" s="331"/>
      <c r="F305" s="331"/>
      <c r="G305" s="331"/>
      <c r="H305" s="331"/>
      <c r="I305" s="331"/>
      <c r="J305" s="332"/>
    </row>
    <row r="306" spans="1:10" x14ac:dyDescent="0.2">
      <c r="A306" s="330"/>
      <c r="B306" s="331"/>
      <c r="C306" s="331"/>
      <c r="D306" s="331"/>
      <c r="E306" s="331"/>
      <c r="F306" s="331"/>
      <c r="G306" s="331"/>
      <c r="H306" s="331"/>
      <c r="I306" s="331"/>
      <c r="J306" s="332"/>
    </row>
    <row r="307" spans="1:10" x14ac:dyDescent="0.2">
      <c r="A307" s="330"/>
      <c r="B307" s="331"/>
      <c r="C307" s="331"/>
      <c r="D307" s="331"/>
      <c r="E307" s="331"/>
      <c r="F307" s="331"/>
      <c r="G307" s="331"/>
      <c r="H307" s="331"/>
      <c r="I307" s="331"/>
      <c r="J307" s="332"/>
    </row>
    <row r="308" spans="1:10" x14ac:dyDescent="0.2">
      <c r="A308" s="330"/>
      <c r="B308" s="331"/>
      <c r="C308" s="331"/>
      <c r="D308" s="331"/>
      <c r="E308" s="331"/>
      <c r="F308" s="331"/>
      <c r="G308" s="331"/>
      <c r="H308" s="331"/>
      <c r="I308" s="331"/>
      <c r="J308" s="332"/>
    </row>
    <row r="309" spans="1:10" x14ac:dyDescent="0.2">
      <c r="A309" s="330"/>
      <c r="B309" s="331"/>
      <c r="C309" s="331"/>
      <c r="D309" s="331"/>
      <c r="E309" s="331"/>
      <c r="F309" s="331"/>
      <c r="G309" s="331"/>
      <c r="H309" s="331"/>
      <c r="I309" s="331"/>
      <c r="J309" s="332"/>
    </row>
    <row r="310" spans="1:10" x14ac:dyDescent="0.2">
      <c r="A310" s="330"/>
      <c r="B310" s="331"/>
      <c r="C310" s="331"/>
      <c r="D310" s="331"/>
      <c r="E310" s="331"/>
      <c r="F310" s="331"/>
      <c r="G310" s="331"/>
      <c r="H310" s="331"/>
      <c r="I310" s="331"/>
      <c r="J310" s="332"/>
    </row>
    <row r="311" spans="1:10" x14ac:dyDescent="0.2">
      <c r="A311" s="330"/>
      <c r="B311" s="331"/>
      <c r="C311" s="331"/>
      <c r="D311" s="331"/>
      <c r="E311" s="331"/>
      <c r="F311" s="331"/>
      <c r="G311" s="331"/>
      <c r="H311" s="331"/>
      <c r="I311" s="331"/>
      <c r="J311" s="332"/>
    </row>
    <row r="312" spans="1:10" x14ac:dyDescent="0.2">
      <c r="A312" s="55"/>
      <c r="B312" s="56"/>
      <c r="C312" s="57"/>
      <c r="D312" s="58"/>
      <c r="E312" s="58"/>
      <c r="F312" s="58"/>
      <c r="G312" s="58"/>
      <c r="H312" s="59"/>
      <c r="I312" s="57"/>
      <c r="J312" s="60"/>
    </row>
    <row r="313" spans="1:10" x14ac:dyDescent="0.2">
      <c r="A313" s="431" t="s">
        <v>542</v>
      </c>
      <c r="B313" s="432"/>
      <c r="C313" s="432"/>
      <c r="D313" s="432"/>
      <c r="E313" s="432"/>
      <c r="F313" s="432"/>
      <c r="G313" s="432"/>
      <c r="H313" s="432"/>
      <c r="I313" s="432"/>
      <c r="J313" s="433"/>
    </row>
    <row r="314" spans="1:10" x14ac:dyDescent="0.2">
      <c r="A314" s="394"/>
      <c r="B314" s="395"/>
      <c r="C314" s="395"/>
      <c r="D314" s="395"/>
      <c r="E314" s="395"/>
      <c r="F314" s="395"/>
      <c r="G314" s="395"/>
      <c r="H314" s="395"/>
      <c r="I314" s="395"/>
      <c r="J314" s="396"/>
    </row>
    <row r="315" spans="1:10" ht="39" customHeight="1" x14ac:dyDescent="0.2">
      <c r="A315" s="397" t="s">
        <v>560</v>
      </c>
      <c r="B315" s="398"/>
      <c r="C315" s="398"/>
      <c r="D315" s="398"/>
      <c r="E315" s="398"/>
      <c r="F315" s="398"/>
      <c r="G315" s="398"/>
      <c r="H315" s="398"/>
      <c r="I315" s="398"/>
      <c r="J315" s="399"/>
    </row>
    <row r="316" spans="1:10" ht="29.45" customHeight="1" x14ac:dyDescent="0.2">
      <c r="A316" s="400"/>
      <c r="B316" s="401"/>
      <c r="C316" s="401"/>
      <c r="D316" s="401"/>
      <c r="E316" s="401"/>
      <c r="F316" s="401"/>
      <c r="G316" s="401"/>
      <c r="H316" s="401"/>
      <c r="I316" s="401"/>
      <c r="J316" s="402"/>
    </row>
    <row r="317" spans="1:10" x14ac:dyDescent="0.2">
      <c r="A317" s="400"/>
      <c r="B317" s="401"/>
      <c r="C317" s="401"/>
      <c r="D317" s="401"/>
      <c r="E317" s="401"/>
      <c r="F317" s="401"/>
      <c r="G317" s="401"/>
      <c r="H317" s="401"/>
      <c r="I317" s="401"/>
      <c r="J317" s="402"/>
    </row>
    <row r="318" spans="1:10" ht="25.15" customHeight="1" x14ac:dyDescent="0.2">
      <c r="A318" s="400"/>
      <c r="B318" s="401"/>
      <c r="C318" s="401"/>
      <c r="D318" s="401"/>
      <c r="E318" s="401"/>
      <c r="F318" s="401"/>
      <c r="G318" s="401"/>
      <c r="H318" s="401"/>
      <c r="I318" s="401"/>
      <c r="J318" s="402"/>
    </row>
    <row r="319" spans="1:10" x14ac:dyDescent="0.2">
      <c r="A319" s="400"/>
      <c r="B319" s="401"/>
      <c r="C319" s="401"/>
      <c r="D319" s="401"/>
      <c r="E319" s="401"/>
      <c r="F319" s="401"/>
      <c r="G319" s="401"/>
      <c r="H319" s="401"/>
      <c r="I319" s="401"/>
      <c r="J319" s="402"/>
    </row>
    <row r="320" spans="1:10" ht="51.6" customHeight="1" x14ac:dyDescent="0.2">
      <c r="A320" s="403"/>
      <c r="B320" s="404"/>
      <c r="C320" s="404"/>
      <c r="D320" s="404"/>
      <c r="E320" s="404"/>
      <c r="F320" s="404"/>
      <c r="G320" s="404"/>
      <c r="H320" s="404"/>
      <c r="I320" s="404"/>
      <c r="J320" s="405"/>
    </row>
    <row r="321" spans="1:10" x14ac:dyDescent="0.2">
      <c r="A321" s="348" t="s">
        <v>554</v>
      </c>
      <c r="B321" s="349"/>
      <c r="C321" s="349"/>
      <c r="D321" s="349"/>
      <c r="E321" s="349"/>
      <c r="F321" s="350"/>
      <c r="G321" s="350"/>
      <c r="H321" s="350"/>
      <c r="I321" s="350"/>
      <c r="J321" s="351"/>
    </row>
    <row r="322" spans="1:10" x14ac:dyDescent="0.2">
      <c r="A322" s="397" t="s">
        <v>342</v>
      </c>
      <c r="B322" s="398"/>
      <c r="C322" s="398"/>
      <c r="D322" s="398"/>
      <c r="E322" s="398"/>
      <c r="F322" s="398"/>
      <c r="G322" s="398"/>
      <c r="H322" s="398"/>
      <c r="I322" s="398"/>
      <c r="J322" s="399"/>
    </row>
    <row r="323" spans="1:10" x14ac:dyDescent="0.2">
      <c r="A323" s="400"/>
      <c r="B323" s="401"/>
      <c r="C323" s="401"/>
      <c r="D323" s="401"/>
      <c r="E323" s="401"/>
      <c r="F323" s="401"/>
      <c r="G323" s="401"/>
      <c r="H323" s="401"/>
      <c r="I323" s="401"/>
      <c r="J323" s="402"/>
    </row>
    <row r="324" spans="1:10" x14ac:dyDescent="0.2">
      <c r="A324" s="400"/>
      <c r="B324" s="401"/>
      <c r="C324" s="401"/>
      <c r="D324" s="401"/>
      <c r="E324" s="401"/>
      <c r="F324" s="401"/>
      <c r="G324" s="401"/>
      <c r="H324" s="401"/>
      <c r="I324" s="401"/>
      <c r="J324" s="402"/>
    </row>
    <row r="325" spans="1:10" x14ac:dyDescent="0.2">
      <c r="A325" s="330"/>
      <c r="B325" s="331"/>
      <c r="C325" s="331"/>
      <c r="D325" s="331"/>
      <c r="E325" s="331"/>
      <c r="F325" s="331"/>
      <c r="G325" s="331"/>
      <c r="H325" s="331"/>
      <c r="I325" s="331"/>
      <c r="J325" s="332"/>
    </row>
    <row r="326" spans="1:10" x14ac:dyDescent="0.2">
      <c r="A326" s="330"/>
      <c r="B326" s="331"/>
      <c r="C326" s="331"/>
      <c r="D326" s="331"/>
      <c r="E326" s="331"/>
      <c r="F326" s="331"/>
      <c r="G326" s="331"/>
      <c r="H326" s="331"/>
      <c r="I326" s="331"/>
      <c r="J326" s="332"/>
    </row>
    <row r="327" spans="1:10" x14ac:dyDescent="0.2">
      <c r="A327" s="330"/>
      <c r="B327" s="331"/>
      <c r="C327" s="331"/>
      <c r="D327" s="331"/>
      <c r="E327" s="331"/>
      <c r="F327" s="331"/>
      <c r="G327" s="331"/>
      <c r="H327" s="331"/>
      <c r="I327" s="331"/>
      <c r="J327" s="332"/>
    </row>
    <row r="328" spans="1:10" x14ac:dyDescent="0.2">
      <c r="A328" s="330"/>
      <c r="B328" s="331"/>
      <c r="C328" s="331"/>
      <c r="D328" s="331"/>
      <c r="E328" s="331"/>
      <c r="F328" s="331"/>
      <c r="G328" s="331"/>
      <c r="H328" s="331"/>
      <c r="I328" s="331"/>
      <c r="J328" s="332"/>
    </row>
    <row r="329" spans="1:10" x14ac:dyDescent="0.2">
      <c r="A329" s="330"/>
      <c r="B329" s="331"/>
      <c r="C329" s="331"/>
      <c r="D329" s="331"/>
      <c r="E329" s="331"/>
      <c r="F329" s="331"/>
      <c r="G329" s="331"/>
      <c r="H329" s="331"/>
      <c r="I329" s="331"/>
      <c r="J329" s="332"/>
    </row>
    <row r="330" spans="1:10" x14ac:dyDescent="0.2">
      <c r="A330" s="330"/>
      <c r="B330" s="331"/>
      <c r="C330" s="331"/>
      <c r="D330" s="331"/>
      <c r="E330" s="331"/>
      <c r="F330" s="331"/>
      <c r="G330" s="331"/>
      <c r="H330" s="331"/>
      <c r="I330" s="331"/>
      <c r="J330" s="332"/>
    </row>
    <row r="331" spans="1:10" x14ac:dyDescent="0.2">
      <c r="A331" s="330"/>
      <c r="B331" s="331"/>
      <c r="C331" s="331"/>
      <c r="D331" s="331"/>
      <c r="E331" s="331"/>
      <c r="F331" s="331"/>
      <c r="G331" s="331"/>
      <c r="H331" s="331"/>
      <c r="I331" s="331"/>
      <c r="J331" s="332"/>
    </row>
    <row r="332" spans="1:10" x14ac:dyDescent="0.2">
      <c r="A332" s="330"/>
      <c r="B332" s="331"/>
      <c r="C332" s="331"/>
      <c r="D332" s="331"/>
      <c r="E332" s="331"/>
      <c r="F332" s="331"/>
      <c r="G332" s="331"/>
      <c r="H332" s="331"/>
      <c r="I332" s="331"/>
      <c r="J332" s="332"/>
    </row>
    <row r="333" spans="1:10" x14ac:dyDescent="0.2">
      <c r="A333" s="330"/>
      <c r="B333" s="331"/>
      <c r="C333" s="331"/>
      <c r="D333" s="331"/>
      <c r="E333" s="331"/>
      <c r="F333" s="331"/>
      <c r="G333" s="331"/>
      <c r="H333" s="331"/>
      <c r="I333" s="331"/>
      <c r="J333" s="332"/>
    </row>
    <row r="334" spans="1:10" x14ac:dyDescent="0.2">
      <c r="A334" s="330"/>
      <c r="B334" s="331"/>
      <c r="C334" s="331"/>
      <c r="D334" s="331"/>
      <c r="E334" s="331"/>
      <c r="F334" s="331"/>
      <c r="G334" s="331"/>
      <c r="H334" s="331"/>
      <c r="I334" s="331"/>
      <c r="J334" s="332"/>
    </row>
    <row r="335" spans="1:10" x14ac:dyDescent="0.2">
      <c r="A335" s="330"/>
      <c r="B335" s="331"/>
      <c r="C335" s="331"/>
      <c r="D335" s="331"/>
      <c r="E335" s="331"/>
      <c r="F335" s="331"/>
      <c r="G335" s="331"/>
      <c r="H335" s="331"/>
      <c r="I335" s="331"/>
      <c r="J335" s="332"/>
    </row>
    <row r="336" spans="1:10" x14ac:dyDescent="0.2">
      <c r="A336" s="330"/>
      <c r="B336" s="331"/>
      <c r="C336" s="331"/>
      <c r="D336" s="331"/>
      <c r="E336" s="331"/>
      <c r="F336" s="331"/>
      <c r="G336" s="331"/>
      <c r="H336" s="331"/>
      <c r="I336" s="331"/>
      <c r="J336" s="332"/>
    </row>
    <row r="337" spans="1:10" x14ac:dyDescent="0.2">
      <c r="A337" s="330"/>
      <c r="B337" s="331"/>
      <c r="C337" s="331"/>
      <c r="D337" s="331"/>
      <c r="E337" s="331"/>
      <c r="F337" s="331"/>
      <c r="G337" s="331"/>
      <c r="H337" s="331"/>
      <c r="I337" s="331"/>
      <c r="J337" s="332"/>
    </row>
    <row r="338" spans="1:10" x14ac:dyDescent="0.2">
      <c r="A338" s="330"/>
      <c r="B338" s="331"/>
      <c r="C338" s="331"/>
      <c r="D338" s="331"/>
      <c r="E338" s="331"/>
      <c r="F338" s="331"/>
      <c r="G338" s="331"/>
      <c r="H338" s="331"/>
      <c r="I338" s="331"/>
      <c r="J338" s="332"/>
    </row>
    <row r="339" spans="1:10" x14ac:dyDescent="0.2">
      <c r="A339" s="330"/>
      <c r="B339" s="331"/>
      <c r="C339" s="331"/>
      <c r="D339" s="331"/>
      <c r="E339" s="331"/>
      <c r="F339" s="331"/>
      <c r="G339" s="331"/>
      <c r="H339" s="331"/>
      <c r="I339" s="331"/>
      <c r="J339" s="332"/>
    </row>
    <row r="340" spans="1:10" x14ac:dyDescent="0.2">
      <c r="A340" s="330"/>
      <c r="B340" s="331"/>
      <c r="C340" s="331"/>
      <c r="D340" s="331"/>
      <c r="E340" s="331"/>
      <c r="F340" s="331"/>
      <c r="G340" s="331"/>
      <c r="H340" s="331"/>
      <c r="I340" s="331"/>
      <c r="J340" s="332"/>
    </row>
    <row r="341" spans="1:10" x14ac:dyDescent="0.2">
      <c r="A341" s="330"/>
      <c r="B341" s="331"/>
      <c r="C341" s="331"/>
      <c r="D341" s="331"/>
      <c r="E341" s="331"/>
      <c r="F341" s="331"/>
      <c r="G341" s="331"/>
      <c r="H341" s="331"/>
      <c r="I341" s="331"/>
      <c r="J341" s="332"/>
    </row>
    <row r="342" spans="1:10" x14ac:dyDescent="0.2">
      <c r="A342" s="330"/>
      <c r="B342" s="331"/>
      <c r="C342" s="331"/>
      <c r="D342" s="331"/>
      <c r="E342" s="331"/>
      <c r="F342" s="331"/>
      <c r="G342" s="331"/>
      <c r="H342" s="331"/>
      <c r="I342" s="331"/>
      <c r="J342" s="332"/>
    </row>
    <row r="343" spans="1:10" x14ac:dyDescent="0.2">
      <c r="A343" s="330"/>
      <c r="B343" s="331"/>
      <c r="C343" s="331"/>
      <c r="D343" s="331"/>
      <c r="E343" s="331"/>
      <c r="F343" s="331"/>
      <c r="G343" s="331"/>
      <c r="H343" s="331"/>
      <c r="I343" s="331"/>
      <c r="J343" s="332"/>
    </row>
    <row r="344" spans="1:10" x14ac:dyDescent="0.2">
      <c r="A344" s="330"/>
      <c r="B344" s="331"/>
      <c r="C344" s="331"/>
      <c r="D344" s="331"/>
      <c r="E344" s="331"/>
      <c r="F344" s="331"/>
      <c r="G344" s="331"/>
      <c r="H344" s="331"/>
      <c r="I344" s="331"/>
      <c r="J344" s="332"/>
    </row>
    <row r="345" spans="1:10" ht="13.5" thickBot="1" x14ac:dyDescent="0.25">
      <c r="A345" s="55"/>
      <c r="B345" s="56"/>
      <c r="C345" s="57"/>
      <c r="D345" s="58"/>
      <c r="E345" s="58"/>
      <c r="F345" s="58"/>
      <c r="G345" s="58"/>
      <c r="H345" s="59"/>
      <c r="I345" s="57"/>
      <c r="J345" s="60"/>
    </row>
    <row r="346" spans="1:10" ht="13.5" thickTop="1" x14ac:dyDescent="0.2">
      <c r="A346" s="458" t="s">
        <v>545</v>
      </c>
      <c r="B346" s="459"/>
      <c r="C346" s="459"/>
      <c r="D346" s="459"/>
      <c r="E346" s="459"/>
      <c r="F346" s="459"/>
      <c r="G346" s="459"/>
      <c r="H346" s="459"/>
      <c r="I346" s="459"/>
      <c r="J346" s="460"/>
    </row>
    <row r="347" spans="1:10" x14ac:dyDescent="0.2">
      <c r="A347" s="461"/>
      <c r="B347" s="462"/>
      <c r="C347" s="462"/>
      <c r="D347" s="462"/>
      <c r="E347" s="462"/>
      <c r="F347" s="462"/>
      <c r="G347" s="462"/>
      <c r="H347" s="462"/>
      <c r="I347" s="462"/>
      <c r="J347" s="463"/>
    </row>
    <row r="348" spans="1:10" ht="37.15" customHeight="1" x14ac:dyDescent="0.2">
      <c r="A348" s="464" t="s">
        <v>556</v>
      </c>
      <c r="B348" s="465"/>
      <c r="C348" s="465"/>
      <c r="D348" s="465"/>
      <c r="E348" s="465"/>
      <c r="F348" s="465"/>
      <c r="G348" s="465"/>
      <c r="H348" s="465"/>
      <c r="I348" s="465"/>
      <c r="J348" s="466"/>
    </row>
    <row r="349" spans="1:10" ht="44.45" customHeight="1" x14ac:dyDescent="0.2">
      <c r="A349" s="467"/>
      <c r="B349" s="468"/>
      <c r="C349" s="468"/>
      <c r="D349" s="468"/>
      <c r="E349" s="468"/>
      <c r="F349" s="468"/>
      <c r="G349" s="468"/>
      <c r="H349" s="468"/>
      <c r="I349" s="468"/>
      <c r="J349" s="469"/>
    </row>
    <row r="350" spans="1:10" ht="125.45" customHeight="1" x14ac:dyDescent="0.2">
      <c r="A350" s="470"/>
      <c r="B350" s="471"/>
      <c r="C350" s="471"/>
      <c r="D350" s="471"/>
      <c r="E350" s="471"/>
      <c r="F350" s="471"/>
      <c r="G350" s="471"/>
      <c r="H350" s="471"/>
      <c r="I350" s="471"/>
      <c r="J350" s="472"/>
    </row>
    <row r="351" spans="1:10" x14ac:dyDescent="0.2">
      <c r="A351" s="180"/>
      <c r="B351" s="181"/>
      <c r="C351" s="182"/>
      <c r="D351" s="178"/>
      <c r="E351" s="178"/>
      <c r="F351" s="178"/>
      <c r="G351" s="178"/>
      <c r="H351" s="183"/>
      <c r="I351" s="182"/>
      <c r="J351" s="179"/>
    </row>
    <row r="352" spans="1:10" x14ac:dyDescent="0.2">
      <c r="A352" s="348" t="s">
        <v>546</v>
      </c>
      <c r="B352" s="349"/>
      <c r="C352" s="349"/>
      <c r="D352" s="349"/>
      <c r="E352" s="349"/>
      <c r="F352" s="350"/>
      <c r="G352" s="350"/>
      <c r="H352" s="350"/>
      <c r="I352" s="350"/>
      <c r="J352" s="351"/>
    </row>
    <row r="353" spans="1:10" x14ac:dyDescent="0.2">
      <c r="A353" s="407" t="s">
        <v>547</v>
      </c>
      <c r="B353" s="408"/>
      <c r="C353" s="408"/>
      <c r="D353" s="408"/>
      <c r="E353" s="408"/>
      <c r="F353" s="408"/>
      <c r="G353" s="408"/>
      <c r="H353" s="408"/>
      <c r="I353" s="408"/>
      <c r="J353" s="409"/>
    </row>
    <row r="354" spans="1:10" x14ac:dyDescent="0.2">
      <c r="A354" s="410"/>
      <c r="B354" s="411"/>
      <c r="C354" s="411"/>
      <c r="D354" s="411"/>
      <c r="E354" s="411"/>
      <c r="F354" s="411"/>
      <c r="G354" s="411"/>
      <c r="H354" s="411"/>
      <c r="I354" s="411"/>
      <c r="J354" s="412"/>
    </row>
    <row r="355" spans="1:10" x14ac:dyDescent="0.2">
      <c r="A355" s="410"/>
      <c r="B355" s="411"/>
      <c r="C355" s="411"/>
      <c r="D355" s="411"/>
      <c r="E355" s="411"/>
      <c r="F355" s="411"/>
      <c r="G355" s="411"/>
      <c r="H355" s="411"/>
      <c r="I355" s="411"/>
      <c r="J355" s="412"/>
    </row>
    <row r="356" spans="1:10" x14ac:dyDescent="0.2">
      <c r="A356" s="410"/>
      <c r="B356" s="411"/>
      <c r="C356" s="411"/>
      <c r="D356" s="411"/>
      <c r="E356" s="411"/>
      <c r="F356" s="411"/>
      <c r="G356" s="411"/>
      <c r="H356" s="411"/>
      <c r="I356" s="411"/>
      <c r="J356" s="412"/>
    </row>
    <row r="357" spans="1:10" x14ac:dyDescent="0.2">
      <c r="A357" s="413"/>
      <c r="B357" s="414"/>
      <c r="C357" s="414"/>
      <c r="D357" s="414"/>
      <c r="E357" s="414"/>
      <c r="F357" s="414"/>
      <c r="G357" s="414"/>
      <c r="H357" s="414"/>
      <c r="I357" s="414"/>
      <c r="J357" s="415"/>
    </row>
    <row r="358" spans="1:10" x14ac:dyDescent="0.2">
      <c r="A358" s="406" t="s">
        <v>590</v>
      </c>
      <c r="B358" s="331"/>
      <c r="C358" s="331"/>
      <c r="D358" s="331"/>
      <c r="E358" s="331"/>
      <c r="F358" s="331"/>
      <c r="G358" s="331"/>
      <c r="H358" s="331"/>
      <c r="I358" s="331"/>
      <c r="J358" s="332"/>
    </row>
    <row r="359" spans="1:10" x14ac:dyDescent="0.2">
      <c r="A359" s="330"/>
      <c r="B359" s="331"/>
      <c r="C359" s="331"/>
      <c r="D359" s="331"/>
      <c r="E359" s="331"/>
      <c r="F359" s="331"/>
      <c r="G359" s="331"/>
      <c r="H359" s="331"/>
      <c r="I359" s="331"/>
      <c r="J359" s="332"/>
    </row>
    <row r="360" spans="1:10" x14ac:dyDescent="0.2">
      <c r="A360" s="330"/>
      <c r="B360" s="331"/>
      <c r="C360" s="331"/>
      <c r="D360" s="331"/>
      <c r="E360" s="331"/>
      <c r="F360" s="331"/>
      <c r="G360" s="331"/>
      <c r="H360" s="331"/>
      <c r="I360" s="331"/>
      <c r="J360" s="332"/>
    </row>
    <row r="361" spans="1:10" x14ac:dyDescent="0.2">
      <c r="A361" s="330"/>
      <c r="B361" s="331"/>
      <c r="C361" s="331"/>
      <c r="D361" s="331"/>
      <c r="E361" s="331"/>
      <c r="F361" s="331"/>
      <c r="G361" s="331"/>
      <c r="H361" s="331"/>
      <c r="I361" s="331"/>
      <c r="J361" s="332"/>
    </row>
    <row r="362" spans="1:10" x14ac:dyDescent="0.2">
      <c r="A362" s="330"/>
      <c r="B362" s="331"/>
      <c r="C362" s="331"/>
      <c r="D362" s="331"/>
      <c r="E362" s="331"/>
      <c r="F362" s="331"/>
      <c r="G362" s="331"/>
      <c r="H362" s="331"/>
      <c r="I362" s="331"/>
      <c r="J362" s="332"/>
    </row>
    <row r="363" spans="1:10" x14ac:dyDescent="0.2">
      <c r="A363" s="330"/>
      <c r="B363" s="331"/>
      <c r="C363" s="331"/>
      <c r="D363" s="331"/>
      <c r="E363" s="331"/>
      <c r="F363" s="331"/>
      <c r="G363" s="331"/>
      <c r="H363" s="331"/>
      <c r="I363" s="331"/>
      <c r="J363" s="332"/>
    </row>
    <row r="364" spans="1:10" x14ac:dyDescent="0.2">
      <c r="A364" s="330"/>
      <c r="B364" s="331"/>
      <c r="C364" s="331"/>
      <c r="D364" s="331"/>
      <c r="E364" s="331"/>
      <c r="F364" s="331"/>
      <c r="G364" s="331"/>
      <c r="H364" s="331"/>
      <c r="I364" s="331"/>
      <c r="J364" s="332"/>
    </row>
    <row r="365" spans="1:10" x14ac:dyDescent="0.2">
      <c r="A365" s="330"/>
      <c r="B365" s="331"/>
      <c r="C365" s="331"/>
      <c r="D365" s="331"/>
      <c r="E365" s="331"/>
      <c r="F365" s="331"/>
      <c r="G365" s="331"/>
      <c r="H365" s="331"/>
      <c r="I365" s="331"/>
      <c r="J365" s="332"/>
    </row>
    <row r="366" spans="1:10" x14ac:dyDescent="0.2">
      <c r="A366" s="330"/>
      <c r="B366" s="331"/>
      <c r="C366" s="331"/>
      <c r="D366" s="331"/>
      <c r="E366" s="331"/>
      <c r="F366" s="331"/>
      <c r="G366" s="331"/>
      <c r="H366" s="331"/>
      <c r="I366" s="331"/>
      <c r="J366" s="332"/>
    </row>
    <row r="367" spans="1:10" x14ac:dyDescent="0.2">
      <c r="A367" s="330"/>
      <c r="B367" s="331"/>
      <c r="C367" s="331"/>
      <c r="D367" s="331"/>
      <c r="E367" s="331"/>
      <c r="F367" s="331"/>
      <c r="G367" s="331"/>
      <c r="H367" s="331"/>
      <c r="I367" s="331"/>
      <c r="J367" s="332"/>
    </row>
    <row r="368" spans="1:10" x14ac:dyDescent="0.2">
      <c r="A368" s="330"/>
      <c r="B368" s="331"/>
      <c r="C368" s="331"/>
      <c r="D368" s="331"/>
      <c r="E368" s="331"/>
      <c r="F368" s="331"/>
      <c r="G368" s="331"/>
      <c r="H368" s="331"/>
      <c r="I368" s="331"/>
      <c r="J368" s="332"/>
    </row>
    <row r="369" spans="1:10" x14ac:dyDescent="0.2">
      <c r="A369" s="330"/>
      <c r="B369" s="331"/>
      <c r="C369" s="331"/>
      <c r="D369" s="331"/>
      <c r="E369" s="331"/>
      <c r="F369" s="331"/>
      <c r="G369" s="331"/>
      <c r="H369" s="331"/>
      <c r="I369" s="331"/>
      <c r="J369" s="332"/>
    </row>
    <row r="370" spans="1:10" x14ac:dyDescent="0.2">
      <c r="A370" s="330"/>
      <c r="B370" s="331"/>
      <c r="C370" s="331"/>
      <c r="D370" s="331"/>
      <c r="E370" s="331"/>
      <c r="F370" s="331"/>
      <c r="G370" s="331"/>
      <c r="H370" s="331"/>
      <c r="I370" s="331"/>
      <c r="J370" s="332"/>
    </row>
    <row r="371" spans="1:10" x14ac:dyDescent="0.2">
      <c r="A371" s="330"/>
      <c r="B371" s="331"/>
      <c r="C371" s="331"/>
      <c r="D371" s="331"/>
      <c r="E371" s="331"/>
      <c r="F371" s="331"/>
      <c r="G371" s="331"/>
      <c r="H371" s="331"/>
      <c r="I371" s="331"/>
      <c r="J371" s="332"/>
    </row>
    <row r="372" spans="1:10" x14ac:dyDescent="0.2">
      <c r="A372" s="330"/>
      <c r="B372" s="331"/>
      <c r="C372" s="331"/>
      <c r="D372" s="331"/>
      <c r="E372" s="331"/>
      <c r="F372" s="331"/>
      <c r="G372" s="331"/>
      <c r="H372" s="331"/>
      <c r="I372" s="331"/>
      <c r="J372" s="332"/>
    </row>
    <row r="373" spans="1:10" x14ac:dyDescent="0.2">
      <c r="A373" s="330"/>
      <c r="B373" s="331"/>
      <c r="C373" s="331"/>
      <c r="D373" s="331"/>
      <c r="E373" s="331"/>
      <c r="F373" s="331"/>
      <c r="G373" s="331"/>
      <c r="H373" s="331"/>
      <c r="I373" s="331"/>
      <c r="J373" s="332"/>
    </row>
    <row r="374" spans="1:10" x14ac:dyDescent="0.2">
      <c r="A374" s="330"/>
      <c r="B374" s="331"/>
      <c r="C374" s="331"/>
      <c r="D374" s="331"/>
      <c r="E374" s="331"/>
      <c r="F374" s="331"/>
      <c r="G374" s="331"/>
      <c r="H374" s="331"/>
      <c r="I374" s="331"/>
      <c r="J374" s="332"/>
    </row>
    <row r="375" spans="1:10" x14ac:dyDescent="0.2">
      <c r="A375" s="330"/>
      <c r="B375" s="331"/>
      <c r="C375" s="331"/>
      <c r="D375" s="331"/>
      <c r="E375" s="331"/>
      <c r="F375" s="331"/>
      <c r="G375" s="331"/>
      <c r="H375" s="331"/>
      <c r="I375" s="331"/>
      <c r="J375" s="332"/>
    </row>
    <row r="376" spans="1:10" x14ac:dyDescent="0.2">
      <c r="A376" s="330"/>
      <c r="B376" s="331"/>
      <c r="C376" s="331"/>
      <c r="D376" s="331"/>
      <c r="E376" s="331"/>
      <c r="F376" s="331"/>
      <c r="G376" s="331"/>
      <c r="H376" s="331"/>
      <c r="I376" s="331"/>
      <c r="J376" s="332"/>
    </row>
    <row r="377" spans="1:10" x14ac:dyDescent="0.2">
      <c r="A377" s="330"/>
      <c r="B377" s="331"/>
      <c r="C377" s="331"/>
      <c r="D377" s="331"/>
      <c r="E377" s="331"/>
      <c r="F377" s="331"/>
      <c r="G377" s="331"/>
      <c r="H377" s="331"/>
      <c r="I377" s="331"/>
      <c r="J377" s="332"/>
    </row>
    <row r="378" spans="1:10" x14ac:dyDescent="0.2">
      <c r="A378" s="55"/>
      <c r="B378" s="56"/>
      <c r="C378" s="57"/>
      <c r="D378" s="58"/>
      <c r="E378" s="58"/>
      <c r="F378" s="58"/>
      <c r="G378" s="58"/>
      <c r="H378" s="59"/>
      <c r="I378" s="57"/>
      <c r="J378" s="60"/>
    </row>
    <row r="379" spans="1:10" s="61" customFormat="1" ht="25.5" customHeight="1" x14ac:dyDescent="0.2">
      <c r="A379" s="383" t="s">
        <v>582</v>
      </c>
      <c r="B379" s="384"/>
      <c r="C379" s="384"/>
      <c r="D379" s="384"/>
      <c r="E379" s="384"/>
      <c r="F379" s="387">
        <f>SUM(F352,F321,F286,F253,F216,F184,F152,F121,F88,F53,F20)</f>
        <v>0</v>
      </c>
      <c r="G379" s="387"/>
      <c r="H379" s="387"/>
      <c r="I379" s="387"/>
      <c r="J379" s="388"/>
    </row>
    <row r="380" spans="1:10" ht="30.6" customHeight="1" thickBot="1" x14ac:dyDescent="0.25">
      <c r="A380" s="385"/>
      <c r="B380" s="386"/>
      <c r="C380" s="386"/>
      <c r="D380" s="386"/>
      <c r="E380" s="386"/>
      <c r="F380" s="389"/>
      <c r="G380" s="389"/>
      <c r="H380" s="389"/>
      <c r="I380" s="389"/>
      <c r="J380" s="390"/>
    </row>
    <row r="381" spans="1:10" ht="13.5" thickTop="1" x14ac:dyDescent="0.2"/>
  </sheetData>
  <sheetProtection password="E686" sheet="1" objects="1" scenarios="1" formatRows="0"/>
  <mergeCells count="78">
    <mergeCell ref="A325:J344"/>
    <mergeCell ref="A346:J347"/>
    <mergeCell ref="A348:J350"/>
    <mergeCell ref="A287:J291"/>
    <mergeCell ref="A292:J311"/>
    <mergeCell ref="A313:J314"/>
    <mergeCell ref="A315:J320"/>
    <mergeCell ref="A321:E321"/>
    <mergeCell ref="F321:J321"/>
    <mergeCell ref="A1:J2"/>
    <mergeCell ref="A3:J5"/>
    <mergeCell ref="A259:J278"/>
    <mergeCell ref="A280:J281"/>
    <mergeCell ref="A282:J285"/>
    <mergeCell ref="A212:J215"/>
    <mergeCell ref="A216:E216"/>
    <mergeCell ref="F216:J216"/>
    <mergeCell ref="A217:J220"/>
    <mergeCell ref="A221:J240"/>
    <mergeCell ref="A89:J91"/>
    <mergeCell ref="A189:J208"/>
    <mergeCell ref="A210:J211"/>
    <mergeCell ref="A9:J10"/>
    <mergeCell ref="A11:J13"/>
    <mergeCell ref="A146:J147"/>
    <mergeCell ref="A286:E286"/>
    <mergeCell ref="F286:J286"/>
    <mergeCell ref="A241:J242"/>
    <mergeCell ref="A243:J245"/>
    <mergeCell ref="A379:E380"/>
    <mergeCell ref="F379:J380"/>
    <mergeCell ref="A247:J248"/>
    <mergeCell ref="A249:J252"/>
    <mergeCell ref="A253:E253"/>
    <mergeCell ref="F253:J253"/>
    <mergeCell ref="A254:J258"/>
    <mergeCell ref="A358:J377"/>
    <mergeCell ref="A322:J324"/>
    <mergeCell ref="A352:E352"/>
    <mergeCell ref="F352:J352"/>
    <mergeCell ref="A353:J357"/>
    <mergeCell ref="A185:J188"/>
    <mergeCell ref="A157:J176"/>
    <mergeCell ref="A152:E152"/>
    <mergeCell ref="A125:J144"/>
    <mergeCell ref="A92:J111"/>
    <mergeCell ref="A113:J114"/>
    <mergeCell ref="A121:E121"/>
    <mergeCell ref="A122:J124"/>
    <mergeCell ref="F121:J121"/>
    <mergeCell ref="A148:J151"/>
    <mergeCell ref="F152:J152"/>
    <mergeCell ref="A153:J156"/>
    <mergeCell ref="F184:J184"/>
    <mergeCell ref="A178:J179"/>
    <mergeCell ref="A180:J183"/>
    <mergeCell ref="A184:E184"/>
    <mergeCell ref="A82:J87"/>
    <mergeCell ref="A115:J120"/>
    <mergeCell ref="A88:E88"/>
    <mergeCell ref="F88:J88"/>
    <mergeCell ref="A7:E7"/>
    <mergeCell ref="F7:J7"/>
    <mergeCell ref="A53:E53"/>
    <mergeCell ref="F53:J53"/>
    <mergeCell ref="A20:E20"/>
    <mergeCell ref="F20:J20"/>
    <mergeCell ref="A14:J15"/>
    <mergeCell ref="A21:J25"/>
    <mergeCell ref="A26:J45"/>
    <mergeCell ref="A47:J48"/>
    <mergeCell ref="A49:J52"/>
    <mergeCell ref="A16:J19"/>
    <mergeCell ref="A8:E8"/>
    <mergeCell ref="F8:J8"/>
    <mergeCell ref="A54:J58"/>
    <mergeCell ref="A59:J78"/>
    <mergeCell ref="A80:J81"/>
  </mergeCells>
  <conditionalFormatting sqref="F379:J380">
    <cfRule type="cellIs" dxfId="50" priority="2" operator="equal">
      <formula>$F$8</formula>
    </cfRule>
  </conditionalFormatting>
  <dataValidations count="1">
    <dataValidation type="list" allowBlank="1" showInputMessage="1" showErrorMessage="1" sqref="F7:J7">
      <formula1>yes</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J293"/>
  <sheetViews>
    <sheetView zoomScale="90" zoomScaleNormal="90" workbookViewId="0">
      <selection activeCell="A19" sqref="A19:J41"/>
    </sheetView>
  </sheetViews>
  <sheetFormatPr defaultColWidth="9.140625" defaultRowHeight="12.75" x14ac:dyDescent="0.2"/>
  <cols>
    <col min="1" max="10" width="15.7109375" style="2" customWidth="1"/>
    <col min="11" max="12" width="0" style="2" hidden="1" customWidth="1"/>
    <col min="13" max="16384" width="9.140625" style="2"/>
  </cols>
  <sheetData>
    <row r="1" spans="1:10" ht="13.5" thickTop="1" x14ac:dyDescent="0.2">
      <c r="A1" s="509" t="s">
        <v>143</v>
      </c>
      <c r="B1" s="510"/>
      <c r="C1" s="510"/>
      <c r="D1" s="510"/>
      <c r="E1" s="510"/>
      <c r="F1" s="510"/>
      <c r="G1" s="510"/>
      <c r="H1" s="510"/>
      <c r="I1" s="510"/>
      <c r="J1" s="511"/>
    </row>
    <row r="2" spans="1:10" x14ac:dyDescent="0.2">
      <c r="A2" s="512"/>
      <c r="B2" s="513"/>
      <c r="C2" s="513"/>
      <c r="D2" s="513"/>
      <c r="E2" s="513"/>
      <c r="F2" s="513"/>
      <c r="G2" s="513"/>
      <c r="H2" s="513"/>
      <c r="I2" s="513"/>
      <c r="J2" s="514"/>
    </row>
    <row r="3" spans="1:10" x14ac:dyDescent="0.2">
      <c r="A3" s="515" t="s">
        <v>334</v>
      </c>
      <c r="B3" s="516"/>
      <c r="C3" s="516"/>
      <c r="D3" s="516"/>
      <c r="E3" s="516"/>
      <c r="F3" s="516"/>
      <c r="G3" s="516"/>
      <c r="H3" s="516"/>
      <c r="I3" s="516"/>
      <c r="J3" s="517"/>
    </row>
    <row r="4" spans="1:10" x14ac:dyDescent="0.2">
      <c r="A4" s="518"/>
      <c r="B4" s="519"/>
      <c r="C4" s="519"/>
      <c r="D4" s="519"/>
      <c r="E4" s="519"/>
      <c r="F4" s="519"/>
      <c r="G4" s="519"/>
      <c r="H4" s="519"/>
      <c r="I4" s="519"/>
      <c r="J4" s="520"/>
    </row>
    <row r="5" spans="1:10" x14ac:dyDescent="0.2">
      <c r="A5" s="521"/>
      <c r="B5" s="522"/>
      <c r="C5" s="522"/>
      <c r="D5" s="522"/>
      <c r="E5" s="522"/>
      <c r="F5" s="522"/>
      <c r="G5" s="522"/>
      <c r="H5" s="522"/>
      <c r="I5" s="522"/>
      <c r="J5" s="523"/>
    </row>
    <row r="6" spans="1:10" s="146" customFormat="1" x14ac:dyDescent="0.2">
      <c r="A6" s="164"/>
      <c r="B6" s="163"/>
      <c r="C6" s="160"/>
      <c r="D6" s="162"/>
      <c r="E6" s="162"/>
      <c r="F6" s="162"/>
      <c r="G6" s="162"/>
      <c r="H6" s="161"/>
      <c r="I6" s="160"/>
      <c r="J6" s="159"/>
    </row>
    <row r="7" spans="1:10" x14ac:dyDescent="0.2">
      <c r="A7" s="473" t="s">
        <v>144</v>
      </c>
      <c r="B7" s="474"/>
      <c r="C7" s="474"/>
      <c r="D7" s="474"/>
      <c r="E7" s="474"/>
      <c r="F7" s="474"/>
      <c r="G7" s="474"/>
      <c r="H7" s="474"/>
      <c r="I7" s="474"/>
      <c r="J7" s="475"/>
    </row>
    <row r="8" spans="1:10" x14ac:dyDescent="0.2">
      <c r="A8" s="476"/>
      <c r="B8" s="477"/>
      <c r="C8" s="477"/>
      <c r="D8" s="477"/>
      <c r="E8" s="477"/>
      <c r="F8" s="477"/>
      <c r="G8" s="477"/>
      <c r="H8" s="477"/>
      <c r="I8" s="477"/>
      <c r="J8" s="478"/>
    </row>
    <row r="9" spans="1:10" ht="12.75" customHeight="1" x14ac:dyDescent="0.2">
      <c r="A9" s="479" t="s">
        <v>335</v>
      </c>
      <c r="B9" s="480"/>
      <c r="C9" s="480"/>
      <c r="D9" s="480"/>
      <c r="E9" s="480"/>
      <c r="F9" s="480"/>
      <c r="G9" s="480"/>
      <c r="H9" s="480"/>
      <c r="I9" s="480"/>
      <c r="J9" s="481"/>
    </row>
    <row r="10" spans="1:10" ht="12.75" customHeight="1" x14ac:dyDescent="0.2">
      <c r="A10" s="482"/>
      <c r="B10" s="483"/>
      <c r="C10" s="483"/>
      <c r="D10" s="483"/>
      <c r="E10" s="483"/>
      <c r="F10" s="483"/>
      <c r="G10" s="483"/>
      <c r="H10" s="483"/>
      <c r="I10" s="483"/>
      <c r="J10" s="484"/>
    </row>
    <row r="11" spans="1:10" ht="12.75" customHeight="1" x14ac:dyDescent="0.2">
      <c r="A11" s="482"/>
      <c r="B11" s="483"/>
      <c r="C11" s="483"/>
      <c r="D11" s="483"/>
      <c r="E11" s="483"/>
      <c r="F11" s="483"/>
      <c r="G11" s="483"/>
      <c r="H11" s="483"/>
      <c r="I11" s="483"/>
      <c r="J11" s="484"/>
    </row>
    <row r="12" spans="1:10" ht="15" customHeight="1" x14ac:dyDescent="0.2">
      <c r="A12" s="485"/>
      <c r="B12" s="486"/>
      <c r="C12" s="486"/>
      <c r="D12" s="486"/>
      <c r="E12" s="486"/>
      <c r="F12" s="486"/>
      <c r="G12" s="486"/>
      <c r="H12" s="486"/>
      <c r="I12" s="486"/>
      <c r="J12" s="487"/>
    </row>
    <row r="13" spans="1:10" s="146" customFormat="1" ht="12.75" customHeight="1" x14ac:dyDescent="0.2">
      <c r="A13" s="348" t="s">
        <v>337</v>
      </c>
      <c r="B13" s="349"/>
      <c r="C13" s="349"/>
      <c r="D13" s="349"/>
      <c r="E13" s="349"/>
      <c r="F13" s="350">
        <f>IF('1'!$B$28&gt;499999.99,ROUND('1'!$B$28*0.01,2),0)</f>
        <v>0</v>
      </c>
      <c r="G13" s="350"/>
      <c r="H13" s="350"/>
      <c r="I13" s="350"/>
      <c r="J13" s="351"/>
    </row>
    <row r="14" spans="1:10" ht="12.75" customHeight="1" x14ac:dyDescent="0.2">
      <c r="A14" s="479" t="s">
        <v>336</v>
      </c>
      <c r="B14" s="480"/>
      <c r="C14" s="480"/>
      <c r="D14" s="480"/>
      <c r="E14" s="480"/>
      <c r="F14" s="480"/>
      <c r="G14" s="480"/>
      <c r="H14" s="480"/>
      <c r="I14" s="480"/>
      <c r="J14" s="481"/>
    </row>
    <row r="15" spans="1:10" ht="12.75" customHeight="1" x14ac:dyDescent="0.2">
      <c r="A15" s="482"/>
      <c r="B15" s="483"/>
      <c r="C15" s="483"/>
      <c r="D15" s="483"/>
      <c r="E15" s="483"/>
      <c r="F15" s="483"/>
      <c r="G15" s="483"/>
      <c r="H15" s="483"/>
      <c r="I15" s="483"/>
      <c r="J15" s="484"/>
    </row>
    <row r="16" spans="1:10" ht="12.75" customHeight="1" x14ac:dyDescent="0.2">
      <c r="A16" s="482"/>
      <c r="B16" s="483"/>
      <c r="C16" s="483"/>
      <c r="D16" s="483"/>
      <c r="E16" s="483"/>
      <c r="F16" s="483"/>
      <c r="G16" s="483"/>
      <c r="H16" s="483"/>
      <c r="I16" s="483"/>
      <c r="J16" s="484"/>
    </row>
    <row r="17" spans="1:10" ht="12.75" customHeight="1" x14ac:dyDescent="0.2">
      <c r="A17" s="482"/>
      <c r="B17" s="483"/>
      <c r="C17" s="483"/>
      <c r="D17" s="483"/>
      <c r="E17" s="483"/>
      <c r="F17" s="483"/>
      <c r="G17" s="483"/>
      <c r="H17" s="483"/>
      <c r="I17" s="483"/>
      <c r="J17" s="484"/>
    </row>
    <row r="18" spans="1:10" ht="15" customHeight="1" x14ac:dyDescent="0.2">
      <c r="A18" s="485"/>
      <c r="B18" s="486"/>
      <c r="C18" s="486"/>
      <c r="D18" s="486"/>
      <c r="E18" s="486"/>
      <c r="F18" s="486"/>
      <c r="G18" s="486"/>
      <c r="H18" s="486"/>
      <c r="I18" s="486"/>
      <c r="J18" s="487"/>
    </row>
    <row r="19" spans="1:10" s="146" customFormat="1" ht="12.75" customHeight="1" x14ac:dyDescent="0.2">
      <c r="A19" s="488"/>
      <c r="B19" s="489"/>
      <c r="C19" s="489"/>
      <c r="D19" s="489"/>
      <c r="E19" s="489"/>
      <c r="F19" s="489"/>
      <c r="G19" s="489"/>
      <c r="H19" s="489"/>
      <c r="I19" s="489"/>
      <c r="J19" s="490"/>
    </row>
    <row r="20" spans="1:10" s="146" customFormat="1" x14ac:dyDescent="0.2">
      <c r="A20" s="488"/>
      <c r="B20" s="489"/>
      <c r="C20" s="489"/>
      <c r="D20" s="489"/>
      <c r="E20" s="489"/>
      <c r="F20" s="489"/>
      <c r="G20" s="489"/>
      <c r="H20" s="489"/>
      <c r="I20" s="489"/>
      <c r="J20" s="490"/>
    </row>
    <row r="21" spans="1:10" s="146" customFormat="1" x14ac:dyDescent="0.2">
      <c r="A21" s="488"/>
      <c r="B21" s="489"/>
      <c r="C21" s="489"/>
      <c r="D21" s="489"/>
      <c r="E21" s="489"/>
      <c r="F21" s="489"/>
      <c r="G21" s="489"/>
      <c r="H21" s="489"/>
      <c r="I21" s="489"/>
      <c r="J21" s="490"/>
    </row>
    <row r="22" spans="1:10" s="146" customFormat="1" x14ac:dyDescent="0.2">
      <c r="A22" s="488"/>
      <c r="B22" s="489"/>
      <c r="C22" s="489"/>
      <c r="D22" s="489"/>
      <c r="E22" s="489"/>
      <c r="F22" s="489"/>
      <c r="G22" s="489"/>
      <c r="H22" s="489"/>
      <c r="I22" s="489"/>
      <c r="J22" s="490"/>
    </row>
    <row r="23" spans="1:10" s="146" customFormat="1" x14ac:dyDescent="0.2">
      <c r="A23" s="488"/>
      <c r="B23" s="489"/>
      <c r="C23" s="489"/>
      <c r="D23" s="489"/>
      <c r="E23" s="489"/>
      <c r="F23" s="489"/>
      <c r="G23" s="489"/>
      <c r="H23" s="489"/>
      <c r="I23" s="489"/>
      <c r="J23" s="490"/>
    </row>
    <row r="24" spans="1:10" s="146" customFormat="1" x14ac:dyDescent="0.2">
      <c r="A24" s="488"/>
      <c r="B24" s="489"/>
      <c r="C24" s="489"/>
      <c r="D24" s="489"/>
      <c r="E24" s="489"/>
      <c r="F24" s="489"/>
      <c r="G24" s="489"/>
      <c r="H24" s="489"/>
      <c r="I24" s="489"/>
      <c r="J24" s="490"/>
    </row>
    <row r="25" spans="1:10" s="146" customFormat="1" x14ac:dyDescent="0.2">
      <c r="A25" s="488"/>
      <c r="B25" s="489"/>
      <c r="C25" s="489"/>
      <c r="D25" s="489"/>
      <c r="E25" s="489"/>
      <c r="F25" s="489"/>
      <c r="G25" s="489"/>
      <c r="H25" s="489"/>
      <c r="I25" s="489"/>
      <c r="J25" s="490"/>
    </row>
    <row r="26" spans="1:10" s="146" customFormat="1" x14ac:dyDescent="0.2">
      <c r="A26" s="488"/>
      <c r="B26" s="489"/>
      <c r="C26" s="489"/>
      <c r="D26" s="489"/>
      <c r="E26" s="489"/>
      <c r="F26" s="489"/>
      <c r="G26" s="489"/>
      <c r="H26" s="489"/>
      <c r="I26" s="489"/>
      <c r="J26" s="490"/>
    </row>
    <row r="27" spans="1:10" s="146" customFormat="1" x14ac:dyDescent="0.2">
      <c r="A27" s="488"/>
      <c r="B27" s="489"/>
      <c r="C27" s="489"/>
      <c r="D27" s="489"/>
      <c r="E27" s="489"/>
      <c r="F27" s="489"/>
      <c r="G27" s="489"/>
      <c r="H27" s="489"/>
      <c r="I27" s="489"/>
      <c r="J27" s="490"/>
    </row>
    <row r="28" spans="1:10" s="146" customFormat="1" x14ac:dyDescent="0.2">
      <c r="A28" s="488"/>
      <c r="B28" s="489"/>
      <c r="C28" s="489"/>
      <c r="D28" s="489"/>
      <c r="E28" s="489"/>
      <c r="F28" s="489"/>
      <c r="G28" s="489"/>
      <c r="H28" s="489"/>
      <c r="I28" s="489"/>
      <c r="J28" s="490"/>
    </row>
    <row r="29" spans="1:10" s="146" customFormat="1" x14ac:dyDescent="0.2">
      <c r="A29" s="488"/>
      <c r="B29" s="489"/>
      <c r="C29" s="489"/>
      <c r="D29" s="489"/>
      <c r="E29" s="489"/>
      <c r="F29" s="489"/>
      <c r="G29" s="489"/>
      <c r="H29" s="489"/>
      <c r="I29" s="489"/>
      <c r="J29" s="490"/>
    </row>
    <row r="30" spans="1:10" s="146" customFormat="1" x14ac:dyDescent="0.2">
      <c r="A30" s="488"/>
      <c r="B30" s="489"/>
      <c r="C30" s="489"/>
      <c r="D30" s="489"/>
      <c r="E30" s="489"/>
      <c r="F30" s="489"/>
      <c r="G30" s="489"/>
      <c r="H30" s="489"/>
      <c r="I30" s="489"/>
      <c r="J30" s="490"/>
    </row>
    <row r="31" spans="1:10" s="146" customFormat="1" x14ac:dyDescent="0.2">
      <c r="A31" s="488"/>
      <c r="B31" s="489"/>
      <c r="C31" s="489"/>
      <c r="D31" s="489"/>
      <c r="E31" s="489"/>
      <c r="F31" s="489"/>
      <c r="G31" s="489"/>
      <c r="H31" s="489"/>
      <c r="I31" s="489"/>
      <c r="J31" s="490"/>
    </row>
    <row r="32" spans="1:10" s="146" customFormat="1" x14ac:dyDescent="0.2">
      <c r="A32" s="488"/>
      <c r="B32" s="489"/>
      <c r="C32" s="489"/>
      <c r="D32" s="489"/>
      <c r="E32" s="489"/>
      <c r="F32" s="489"/>
      <c r="G32" s="489"/>
      <c r="H32" s="489"/>
      <c r="I32" s="489"/>
      <c r="J32" s="490"/>
    </row>
    <row r="33" spans="1:10" s="146" customFormat="1" x14ac:dyDescent="0.2">
      <c r="A33" s="488"/>
      <c r="B33" s="489"/>
      <c r="C33" s="489"/>
      <c r="D33" s="489"/>
      <c r="E33" s="489"/>
      <c r="F33" s="489"/>
      <c r="G33" s="489"/>
      <c r="H33" s="489"/>
      <c r="I33" s="489"/>
      <c r="J33" s="490"/>
    </row>
    <row r="34" spans="1:10" s="146" customFormat="1" x14ac:dyDescent="0.2">
      <c r="A34" s="488"/>
      <c r="B34" s="489"/>
      <c r="C34" s="489"/>
      <c r="D34" s="489"/>
      <c r="E34" s="489"/>
      <c r="F34" s="489"/>
      <c r="G34" s="489"/>
      <c r="H34" s="489"/>
      <c r="I34" s="489"/>
      <c r="J34" s="490"/>
    </row>
    <row r="35" spans="1:10" s="146" customFormat="1" x14ac:dyDescent="0.2">
      <c r="A35" s="488"/>
      <c r="B35" s="489"/>
      <c r="C35" s="489"/>
      <c r="D35" s="489"/>
      <c r="E35" s="489"/>
      <c r="F35" s="489"/>
      <c r="G35" s="489"/>
      <c r="H35" s="489"/>
      <c r="I35" s="489"/>
      <c r="J35" s="490"/>
    </row>
    <row r="36" spans="1:10" s="146" customFormat="1" x14ac:dyDescent="0.2">
      <c r="A36" s="488"/>
      <c r="B36" s="489"/>
      <c r="C36" s="489"/>
      <c r="D36" s="489"/>
      <c r="E36" s="489"/>
      <c r="F36" s="489"/>
      <c r="G36" s="489"/>
      <c r="H36" s="489"/>
      <c r="I36" s="489"/>
      <c r="J36" s="490"/>
    </row>
    <row r="37" spans="1:10" s="146" customFormat="1" x14ac:dyDescent="0.2">
      <c r="A37" s="488"/>
      <c r="B37" s="489"/>
      <c r="C37" s="489"/>
      <c r="D37" s="489"/>
      <c r="E37" s="489"/>
      <c r="F37" s="489"/>
      <c r="G37" s="489"/>
      <c r="H37" s="489"/>
      <c r="I37" s="489"/>
      <c r="J37" s="490"/>
    </row>
    <row r="38" spans="1:10" s="146" customFormat="1" x14ac:dyDescent="0.2">
      <c r="A38" s="488"/>
      <c r="B38" s="489"/>
      <c r="C38" s="489"/>
      <c r="D38" s="489"/>
      <c r="E38" s="489"/>
      <c r="F38" s="489"/>
      <c r="G38" s="489"/>
      <c r="H38" s="489"/>
      <c r="I38" s="489"/>
      <c r="J38" s="490"/>
    </row>
    <row r="39" spans="1:10" s="146" customFormat="1" x14ac:dyDescent="0.2">
      <c r="A39" s="488"/>
      <c r="B39" s="489"/>
      <c r="C39" s="489"/>
      <c r="D39" s="489"/>
      <c r="E39" s="489"/>
      <c r="F39" s="489"/>
      <c r="G39" s="489"/>
      <c r="H39" s="489"/>
      <c r="I39" s="489"/>
      <c r="J39" s="490"/>
    </row>
    <row r="40" spans="1:10" s="146" customFormat="1" x14ac:dyDescent="0.2">
      <c r="A40" s="488"/>
      <c r="B40" s="489"/>
      <c r="C40" s="489"/>
      <c r="D40" s="489"/>
      <c r="E40" s="489"/>
      <c r="F40" s="489"/>
      <c r="G40" s="489"/>
      <c r="H40" s="489"/>
      <c r="I40" s="489"/>
      <c r="J40" s="490"/>
    </row>
    <row r="41" spans="1:10" s="146" customFormat="1" x14ac:dyDescent="0.2">
      <c r="A41" s="488"/>
      <c r="B41" s="489"/>
      <c r="C41" s="489"/>
      <c r="D41" s="489"/>
      <c r="E41" s="489"/>
      <c r="F41" s="489"/>
      <c r="G41" s="489"/>
      <c r="H41" s="489"/>
      <c r="I41" s="489"/>
      <c r="J41" s="490"/>
    </row>
    <row r="42" spans="1:10" s="146" customFormat="1" x14ac:dyDescent="0.2">
      <c r="A42" s="164"/>
      <c r="B42" s="163"/>
      <c r="C42" s="160"/>
      <c r="D42" s="162"/>
      <c r="E42" s="162"/>
      <c r="F42" s="162"/>
      <c r="G42" s="162"/>
      <c r="H42" s="161"/>
      <c r="I42" s="160"/>
      <c r="J42" s="159"/>
    </row>
    <row r="43" spans="1:10" x14ac:dyDescent="0.2">
      <c r="A43" s="473" t="s">
        <v>346</v>
      </c>
      <c r="B43" s="474"/>
      <c r="C43" s="474"/>
      <c r="D43" s="474"/>
      <c r="E43" s="474"/>
      <c r="F43" s="474"/>
      <c r="G43" s="474"/>
      <c r="H43" s="474"/>
      <c r="I43" s="474"/>
      <c r="J43" s="475"/>
    </row>
    <row r="44" spans="1:10" x14ac:dyDescent="0.2">
      <c r="A44" s="476"/>
      <c r="B44" s="477"/>
      <c r="C44" s="477"/>
      <c r="D44" s="477"/>
      <c r="E44" s="477"/>
      <c r="F44" s="477"/>
      <c r="G44" s="477"/>
      <c r="H44" s="477"/>
      <c r="I44" s="477"/>
      <c r="J44" s="478"/>
    </row>
    <row r="45" spans="1:10" ht="12.75" customHeight="1" x14ac:dyDescent="0.2">
      <c r="A45" s="479" t="s">
        <v>338</v>
      </c>
      <c r="B45" s="480"/>
      <c r="C45" s="480"/>
      <c r="D45" s="480"/>
      <c r="E45" s="480"/>
      <c r="F45" s="480"/>
      <c r="G45" s="480"/>
      <c r="H45" s="480"/>
      <c r="I45" s="480"/>
      <c r="J45" s="481"/>
    </row>
    <row r="46" spans="1:10" ht="12.75" customHeight="1" x14ac:dyDescent="0.2">
      <c r="A46" s="482"/>
      <c r="B46" s="483"/>
      <c r="C46" s="483"/>
      <c r="D46" s="483"/>
      <c r="E46" s="483"/>
      <c r="F46" s="483"/>
      <c r="G46" s="483"/>
      <c r="H46" s="483"/>
      <c r="I46" s="483"/>
      <c r="J46" s="484"/>
    </row>
    <row r="47" spans="1:10" ht="12.75" customHeight="1" x14ac:dyDescent="0.2">
      <c r="A47" s="482"/>
      <c r="B47" s="483"/>
      <c r="C47" s="483"/>
      <c r="D47" s="483"/>
      <c r="E47" s="483"/>
      <c r="F47" s="483"/>
      <c r="G47" s="483"/>
      <c r="H47" s="483"/>
      <c r="I47" s="483"/>
      <c r="J47" s="484"/>
    </row>
    <row r="48" spans="1:10" ht="15" customHeight="1" x14ac:dyDescent="0.2">
      <c r="A48" s="485"/>
      <c r="B48" s="486"/>
      <c r="C48" s="486"/>
      <c r="D48" s="486"/>
      <c r="E48" s="486"/>
      <c r="F48" s="486"/>
      <c r="G48" s="486"/>
      <c r="H48" s="486"/>
      <c r="I48" s="486"/>
      <c r="J48" s="487"/>
    </row>
    <row r="49" spans="1:10" s="146" customFormat="1" ht="12.75" customHeight="1" x14ac:dyDescent="0.2">
      <c r="A49" s="348" t="s">
        <v>147</v>
      </c>
      <c r="B49" s="349"/>
      <c r="C49" s="349"/>
      <c r="D49" s="349"/>
      <c r="E49" s="349"/>
      <c r="F49" s="366"/>
      <c r="G49" s="366"/>
      <c r="H49" s="366"/>
      <c r="I49" s="366"/>
      <c r="J49" s="367"/>
    </row>
    <row r="50" spans="1:10" ht="12.75" customHeight="1" x14ac:dyDescent="0.2">
      <c r="A50" s="479" t="s">
        <v>343</v>
      </c>
      <c r="B50" s="480"/>
      <c r="C50" s="480"/>
      <c r="D50" s="480"/>
      <c r="E50" s="480"/>
      <c r="F50" s="480"/>
      <c r="G50" s="480"/>
      <c r="H50" s="480"/>
      <c r="I50" s="480"/>
      <c r="J50" s="481"/>
    </row>
    <row r="51" spans="1:10" ht="12.75" customHeight="1" x14ac:dyDescent="0.2">
      <c r="A51" s="482"/>
      <c r="B51" s="483"/>
      <c r="C51" s="483"/>
      <c r="D51" s="483"/>
      <c r="E51" s="483"/>
      <c r="F51" s="483"/>
      <c r="G51" s="483"/>
      <c r="H51" s="483"/>
      <c r="I51" s="483"/>
      <c r="J51" s="484"/>
    </row>
    <row r="52" spans="1:10" ht="12.75" customHeight="1" x14ac:dyDescent="0.2">
      <c r="A52" s="482"/>
      <c r="B52" s="483"/>
      <c r="C52" s="483"/>
      <c r="D52" s="483"/>
      <c r="E52" s="483"/>
      <c r="F52" s="483"/>
      <c r="G52" s="483"/>
      <c r="H52" s="483"/>
      <c r="I52" s="483"/>
      <c r="J52" s="484"/>
    </row>
    <row r="53" spans="1:10" ht="15" customHeight="1" x14ac:dyDescent="0.2">
      <c r="A53" s="485"/>
      <c r="B53" s="486"/>
      <c r="C53" s="486"/>
      <c r="D53" s="486"/>
      <c r="E53" s="486"/>
      <c r="F53" s="486"/>
      <c r="G53" s="486"/>
      <c r="H53" s="486"/>
      <c r="I53" s="486"/>
      <c r="J53" s="487"/>
    </row>
    <row r="54" spans="1:10" s="146" customFormat="1" ht="12.75" customHeight="1" x14ac:dyDescent="0.2">
      <c r="A54" s="491"/>
      <c r="B54" s="492"/>
      <c r="C54" s="492"/>
      <c r="D54" s="492"/>
      <c r="E54" s="492"/>
      <c r="F54" s="492"/>
      <c r="G54" s="492"/>
      <c r="H54" s="492"/>
      <c r="I54" s="492"/>
      <c r="J54" s="493"/>
    </row>
    <row r="55" spans="1:10" s="146" customFormat="1" x14ac:dyDescent="0.2">
      <c r="A55" s="494"/>
      <c r="B55" s="495"/>
      <c r="C55" s="495"/>
      <c r="D55" s="495"/>
      <c r="E55" s="495"/>
      <c r="F55" s="495"/>
      <c r="G55" s="495"/>
      <c r="H55" s="495"/>
      <c r="I55" s="495"/>
      <c r="J55" s="496"/>
    </row>
    <row r="56" spans="1:10" s="146" customFormat="1" x14ac:dyDescent="0.2">
      <c r="A56" s="494"/>
      <c r="B56" s="495"/>
      <c r="C56" s="495"/>
      <c r="D56" s="495"/>
      <c r="E56" s="495"/>
      <c r="F56" s="495"/>
      <c r="G56" s="495"/>
      <c r="H56" s="495"/>
      <c r="I56" s="495"/>
      <c r="J56" s="496"/>
    </row>
    <row r="57" spans="1:10" s="146" customFormat="1" x14ac:dyDescent="0.2">
      <c r="A57" s="494"/>
      <c r="B57" s="495"/>
      <c r="C57" s="495"/>
      <c r="D57" s="495"/>
      <c r="E57" s="495"/>
      <c r="F57" s="495"/>
      <c r="G57" s="495"/>
      <c r="H57" s="495"/>
      <c r="I57" s="495"/>
      <c r="J57" s="496"/>
    </row>
    <row r="58" spans="1:10" s="146" customFormat="1" x14ac:dyDescent="0.2">
      <c r="A58" s="494"/>
      <c r="B58" s="495"/>
      <c r="C58" s="495"/>
      <c r="D58" s="495"/>
      <c r="E58" s="495"/>
      <c r="F58" s="495"/>
      <c r="G58" s="495"/>
      <c r="H58" s="495"/>
      <c r="I58" s="495"/>
      <c r="J58" s="496"/>
    </row>
    <row r="59" spans="1:10" s="146" customFormat="1" x14ac:dyDescent="0.2">
      <c r="A59" s="494"/>
      <c r="B59" s="495"/>
      <c r="C59" s="495"/>
      <c r="D59" s="495"/>
      <c r="E59" s="495"/>
      <c r="F59" s="495"/>
      <c r="G59" s="495"/>
      <c r="H59" s="495"/>
      <c r="I59" s="495"/>
      <c r="J59" s="496"/>
    </row>
    <row r="60" spans="1:10" s="146" customFormat="1" x14ac:dyDescent="0.2">
      <c r="A60" s="494"/>
      <c r="B60" s="495"/>
      <c r="C60" s="495"/>
      <c r="D60" s="495"/>
      <c r="E60" s="495"/>
      <c r="F60" s="495"/>
      <c r="G60" s="495"/>
      <c r="H60" s="495"/>
      <c r="I60" s="495"/>
      <c r="J60" s="496"/>
    </row>
    <row r="61" spans="1:10" s="146" customFormat="1" x14ac:dyDescent="0.2">
      <c r="A61" s="494"/>
      <c r="B61" s="495"/>
      <c r="C61" s="495"/>
      <c r="D61" s="495"/>
      <c r="E61" s="495"/>
      <c r="F61" s="495"/>
      <c r="G61" s="495"/>
      <c r="H61" s="495"/>
      <c r="I61" s="495"/>
      <c r="J61" s="496"/>
    </row>
    <row r="62" spans="1:10" s="146" customFormat="1" x14ac:dyDescent="0.2">
      <c r="A62" s="494"/>
      <c r="B62" s="495"/>
      <c r="C62" s="495"/>
      <c r="D62" s="495"/>
      <c r="E62" s="495"/>
      <c r="F62" s="495"/>
      <c r="G62" s="495"/>
      <c r="H62" s="495"/>
      <c r="I62" s="495"/>
      <c r="J62" s="496"/>
    </row>
    <row r="63" spans="1:10" s="146" customFormat="1" x14ac:dyDescent="0.2">
      <c r="A63" s="494"/>
      <c r="B63" s="495"/>
      <c r="C63" s="495"/>
      <c r="D63" s="495"/>
      <c r="E63" s="495"/>
      <c r="F63" s="495"/>
      <c r="G63" s="495"/>
      <c r="H63" s="495"/>
      <c r="I63" s="495"/>
      <c r="J63" s="496"/>
    </row>
    <row r="64" spans="1:10" s="146" customFormat="1" x14ac:dyDescent="0.2">
      <c r="A64" s="494"/>
      <c r="B64" s="495"/>
      <c r="C64" s="495"/>
      <c r="D64" s="495"/>
      <c r="E64" s="495"/>
      <c r="F64" s="495"/>
      <c r="G64" s="495"/>
      <c r="H64" s="495"/>
      <c r="I64" s="495"/>
      <c r="J64" s="496"/>
    </row>
    <row r="65" spans="1:10" s="146" customFormat="1" x14ac:dyDescent="0.2">
      <c r="A65" s="494"/>
      <c r="B65" s="495"/>
      <c r="C65" s="495"/>
      <c r="D65" s="495"/>
      <c r="E65" s="495"/>
      <c r="F65" s="495"/>
      <c r="G65" s="495"/>
      <c r="H65" s="495"/>
      <c r="I65" s="495"/>
      <c r="J65" s="496"/>
    </row>
    <row r="66" spans="1:10" s="146" customFormat="1" x14ac:dyDescent="0.2">
      <c r="A66" s="494"/>
      <c r="B66" s="495"/>
      <c r="C66" s="495"/>
      <c r="D66" s="495"/>
      <c r="E66" s="495"/>
      <c r="F66" s="495"/>
      <c r="G66" s="495"/>
      <c r="H66" s="495"/>
      <c r="I66" s="495"/>
      <c r="J66" s="496"/>
    </row>
    <row r="67" spans="1:10" ht="12.75" customHeight="1" x14ac:dyDescent="0.2">
      <c r="A67" s="494"/>
      <c r="B67" s="495"/>
      <c r="C67" s="495"/>
      <c r="D67" s="495"/>
      <c r="E67" s="495"/>
      <c r="F67" s="495"/>
      <c r="G67" s="495"/>
      <c r="H67" s="495"/>
      <c r="I67" s="495"/>
      <c r="J67" s="496"/>
    </row>
    <row r="68" spans="1:10" ht="12.75" customHeight="1" x14ac:dyDescent="0.2">
      <c r="A68" s="494"/>
      <c r="B68" s="495"/>
      <c r="C68" s="495"/>
      <c r="D68" s="495"/>
      <c r="E68" s="495"/>
      <c r="F68" s="495"/>
      <c r="G68" s="495"/>
      <c r="H68" s="495"/>
      <c r="I68" s="495"/>
      <c r="J68" s="496"/>
    </row>
    <row r="69" spans="1:10" ht="12.75" customHeight="1" x14ac:dyDescent="0.2">
      <c r="A69" s="494"/>
      <c r="B69" s="495"/>
      <c r="C69" s="495"/>
      <c r="D69" s="495"/>
      <c r="E69" s="495"/>
      <c r="F69" s="495"/>
      <c r="G69" s="495"/>
      <c r="H69" s="495"/>
      <c r="I69" s="495"/>
      <c r="J69" s="496"/>
    </row>
    <row r="70" spans="1:10" ht="15" customHeight="1" x14ac:dyDescent="0.2">
      <c r="A70" s="494"/>
      <c r="B70" s="495"/>
      <c r="C70" s="495"/>
      <c r="D70" s="495"/>
      <c r="E70" s="495"/>
      <c r="F70" s="495"/>
      <c r="G70" s="495"/>
      <c r="H70" s="495"/>
      <c r="I70" s="495"/>
      <c r="J70" s="496"/>
    </row>
    <row r="71" spans="1:10" s="146" customFormat="1" ht="12.75" customHeight="1" x14ac:dyDescent="0.2">
      <c r="A71" s="494"/>
      <c r="B71" s="495"/>
      <c r="C71" s="495"/>
      <c r="D71" s="495"/>
      <c r="E71" s="495"/>
      <c r="F71" s="495"/>
      <c r="G71" s="495"/>
      <c r="H71" s="495"/>
      <c r="I71" s="495"/>
      <c r="J71" s="496"/>
    </row>
    <row r="72" spans="1:10" s="146" customFormat="1" x14ac:dyDescent="0.2">
      <c r="A72" s="494"/>
      <c r="B72" s="495"/>
      <c r="C72" s="495"/>
      <c r="D72" s="495"/>
      <c r="E72" s="495"/>
      <c r="F72" s="495"/>
      <c r="G72" s="495"/>
      <c r="H72" s="495"/>
      <c r="I72" s="495"/>
      <c r="J72" s="496"/>
    </row>
    <row r="73" spans="1:10" s="146" customFormat="1" x14ac:dyDescent="0.2">
      <c r="A73" s="494"/>
      <c r="B73" s="495"/>
      <c r="C73" s="495"/>
      <c r="D73" s="495"/>
      <c r="E73" s="495"/>
      <c r="F73" s="495"/>
      <c r="G73" s="495"/>
      <c r="H73" s="495"/>
      <c r="I73" s="495"/>
      <c r="J73" s="496"/>
    </row>
    <row r="74" spans="1:10" s="146" customFormat="1" x14ac:dyDescent="0.2">
      <c r="A74" s="494"/>
      <c r="B74" s="495"/>
      <c r="C74" s="495"/>
      <c r="D74" s="495"/>
      <c r="E74" s="495"/>
      <c r="F74" s="495"/>
      <c r="G74" s="495"/>
      <c r="H74" s="495"/>
      <c r="I74" s="495"/>
      <c r="J74" s="496"/>
    </row>
    <row r="75" spans="1:10" s="146" customFormat="1" x14ac:dyDescent="0.2">
      <c r="A75" s="494"/>
      <c r="B75" s="495"/>
      <c r="C75" s="495"/>
      <c r="D75" s="495"/>
      <c r="E75" s="495"/>
      <c r="F75" s="495"/>
      <c r="G75" s="495"/>
      <c r="H75" s="495"/>
      <c r="I75" s="495"/>
      <c r="J75" s="496"/>
    </row>
    <row r="76" spans="1:10" s="146" customFormat="1" x14ac:dyDescent="0.2">
      <c r="A76" s="494"/>
      <c r="B76" s="495"/>
      <c r="C76" s="495"/>
      <c r="D76" s="495"/>
      <c r="E76" s="495"/>
      <c r="F76" s="495"/>
      <c r="G76" s="495"/>
      <c r="H76" s="495"/>
      <c r="I76" s="495"/>
      <c r="J76" s="496"/>
    </row>
    <row r="77" spans="1:10" s="146" customFormat="1" x14ac:dyDescent="0.2">
      <c r="A77" s="494"/>
      <c r="B77" s="495"/>
      <c r="C77" s="495"/>
      <c r="D77" s="495"/>
      <c r="E77" s="495"/>
      <c r="F77" s="495"/>
      <c r="G77" s="495"/>
      <c r="H77" s="495"/>
      <c r="I77" s="495"/>
      <c r="J77" s="496"/>
    </row>
    <row r="78" spans="1:10" s="146" customFormat="1" x14ac:dyDescent="0.2">
      <c r="A78" s="494"/>
      <c r="B78" s="495"/>
      <c r="C78" s="495"/>
      <c r="D78" s="495"/>
      <c r="E78" s="495"/>
      <c r="F78" s="495"/>
      <c r="G78" s="495"/>
      <c r="H78" s="495"/>
      <c r="I78" s="495"/>
      <c r="J78" s="496"/>
    </row>
    <row r="79" spans="1:10" s="146" customFormat="1" x14ac:dyDescent="0.2">
      <c r="A79" s="494"/>
      <c r="B79" s="495"/>
      <c r="C79" s="495"/>
      <c r="D79" s="495"/>
      <c r="E79" s="495"/>
      <c r="F79" s="495"/>
      <c r="G79" s="495"/>
      <c r="H79" s="495"/>
      <c r="I79" s="495"/>
      <c r="J79" s="496"/>
    </row>
    <row r="80" spans="1:10" s="146" customFormat="1" x14ac:dyDescent="0.2">
      <c r="A80" s="494"/>
      <c r="B80" s="495"/>
      <c r="C80" s="495"/>
      <c r="D80" s="495"/>
      <c r="E80" s="495"/>
      <c r="F80" s="495"/>
      <c r="G80" s="495"/>
      <c r="H80" s="495"/>
      <c r="I80" s="495"/>
      <c r="J80" s="496"/>
    </row>
    <row r="81" spans="1:10" s="146" customFormat="1" x14ac:dyDescent="0.2">
      <c r="A81" s="494"/>
      <c r="B81" s="495"/>
      <c r="C81" s="495"/>
      <c r="D81" s="495"/>
      <c r="E81" s="495"/>
      <c r="F81" s="495"/>
      <c r="G81" s="495"/>
      <c r="H81" s="495"/>
      <c r="I81" s="495"/>
      <c r="J81" s="496"/>
    </row>
    <row r="82" spans="1:10" s="146" customFormat="1" x14ac:dyDescent="0.2">
      <c r="A82" s="494"/>
      <c r="B82" s="495"/>
      <c r="C82" s="495"/>
      <c r="D82" s="495"/>
      <c r="E82" s="495"/>
      <c r="F82" s="495"/>
      <c r="G82" s="495"/>
      <c r="H82" s="495"/>
      <c r="I82" s="495"/>
      <c r="J82" s="496"/>
    </row>
    <row r="83" spans="1:10" s="146" customFormat="1" x14ac:dyDescent="0.2">
      <c r="A83" s="497"/>
      <c r="B83" s="498"/>
      <c r="C83" s="498"/>
      <c r="D83" s="498"/>
      <c r="E83" s="498"/>
      <c r="F83" s="498"/>
      <c r="G83" s="498"/>
      <c r="H83" s="498"/>
      <c r="I83" s="498"/>
      <c r="J83" s="499"/>
    </row>
    <row r="84" spans="1:10" s="146" customFormat="1" x14ac:dyDescent="0.2">
      <c r="A84" s="164"/>
      <c r="B84" s="163"/>
      <c r="C84" s="160"/>
      <c r="D84" s="162"/>
      <c r="E84" s="162"/>
      <c r="F84" s="162"/>
      <c r="G84" s="162"/>
      <c r="H84" s="161"/>
      <c r="I84" s="160"/>
      <c r="J84" s="159"/>
    </row>
    <row r="85" spans="1:10" x14ac:dyDescent="0.2">
      <c r="A85" s="473" t="s">
        <v>149</v>
      </c>
      <c r="B85" s="474"/>
      <c r="C85" s="474"/>
      <c r="D85" s="474"/>
      <c r="E85" s="474"/>
      <c r="F85" s="474"/>
      <c r="G85" s="474"/>
      <c r="H85" s="474"/>
      <c r="I85" s="474"/>
      <c r="J85" s="475"/>
    </row>
    <row r="86" spans="1:10" x14ac:dyDescent="0.2">
      <c r="A86" s="476"/>
      <c r="B86" s="477"/>
      <c r="C86" s="477"/>
      <c r="D86" s="477"/>
      <c r="E86" s="477"/>
      <c r="F86" s="477"/>
      <c r="G86" s="477"/>
      <c r="H86" s="477"/>
      <c r="I86" s="477"/>
      <c r="J86" s="478"/>
    </row>
    <row r="87" spans="1:10" ht="12.75" customHeight="1" x14ac:dyDescent="0.2">
      <c r="A87" s="479" t="s">
        <v>339</v>
      </c>
      <c r="B87" s="480"/>
      <c r="C87" s="480"/>
      <c r="D87" s="480"/>
      <c r="E87" s="480"/>
      <c r="F87" s="480"/>
      <c r="G87" s="480"/>
      <c r="H87" s="480"/>
      <c r="I87" s="480"/>
      <c r="J87" s="481"/>
    </row>
    <row r="88" spans="1:10" ht="12.75" customHeight="1" x14ac:dyDescent="0.2">
      <c r="A88" s="482"/>
      <c r="B88" s="483"/>
      <c r="C88" s="483"/>
      <c r="D88" s="483"/>
      <c r="E88" s="483"/>
      <c r="F88" s="483"/>
      <c r="G88" s="483"/>
      <c r="H88" s="483"/>
      <c r="I88" s="483"/>
      <c r="J88" s="484"/>
    </row>
    <row r="89" spans="1:10" ht="12.75" customHeight="1" x14ac:dyDescent="0.2">
      <c r="A89" s="482"/>
      <c r="B89" s="483"/>
      <c r="C89" s="483"/>
      <c r="D89" s="483"/>
      <c r="E89" s="483"/>
      <c r="F89" s="483"/>
      <c r="G89" s="483"/>
      <c r="H89" s="483"/>
      <c r="I89" s="483"/>
      <c r="J89" s="484"/>
    </row>
    <row r="90" spans="1:10" ht="15" customHeight="1" x14ac:dyDescent="0.2">
      <c r="A90" s="485"/>
      <c r="B90" s="486"/>
      <c r="C90" s="486"/>
      <c r="D90" s="486"/>
      <c r="E90" s="486"/>
      <c r="F90" s="486"/>
      <c r="G90" s="486"/>
      <c r="H90" s="486"/>
      <c r="I90" s="486"/>
      <c r="J90" s="487"/>
    </row>
    <row r="91" spans="1:10" s="146" customFormat="1" ht="12.75" customHeight="1" x14ac:dyDescent="0.2">
      <c r="A91" s="348" t="s">
        <v>150</v>
      </c>
      <c r="B91" s="349"/>
      <c r="C91" s="349"/>
      <c r="D91" s="349"/>
      <c r="E91" s="349"/>
      <c r="F91" s="366"/>
      <c r="G91" s="366"/>
      <c r="H91" s="366"/>
      <c r="I91" s="366"/>
      <c r="J91" s="367"/>
    </row>
    <row r="92" spans="1:10" ht="12.75" customHeight="1" x14ac:dyDescent="0.2">
      <c r="A92" s="479" t="s">
        <v>343</v>
      </c>
      <c r="B92" s="480"/>
      <c r="C92" s="480"/>
      <c r="D92" s="480"/>
      <c r="E92" s="480"/>
      <c r="F92" s="480"/>
      <c r="G92" s="480"/>
      <c r="H92" s="480"/>
      <c r="I92" s="480"/>
      <c r="J92" s="481"/>
    </row>
    <row r="93" spans="1:10" ht="12.75" customHeight="1" x14ac:dyDescent="0.2">
      <c r="A93" s="482"/>
      <c r="B93" s="483"/>
      <c r="C93" s="483"/>
      <c r="D93" s="483"/>
      <c r="E93" s="483"/>
      <c r="F93" s="483"/>
      <c r="G93" s="483"/>
      <c r="H93" s="483"/>
      <c r="I93" s="483"/>
      <c r="J93" s="484"/>
    </row>
    <row r="94" spans="1:10" ht="12.75" customHeight="1" x14ac:dyDescent="0.2">
      <c r="A94" s="482"/>
      <c r="B94" s="483"/>
      <c r="C94" s="483"/>
      <c r="D94" s="483"/>
      <c r="E94" s="483"/>
      <c r="F94" s="483"/>
      <c r="G94" s="483"/>
      <c r="H94" s="483"/>
      <c r="I94" s="483"/>
      <c r="J94" s="484"/>
    </row>
    <row r="95" spans="1:10" ht="15" customHeight="1" x14ac:dyDescent="0.2">
      <c r="A95" s="485"/>
      <c r="B95" s="486"/>
      <c r="C95" s="486"/>
      <c r="D95" s="486"/>
      <c r="E95" s="486"/>
      <c r="F95" s="486"/>
      <c r="G95" s="486"/>
      <c r="H95" s="486"/>
      <c r="I95" s="486"/>
      <c r="J95" s="487"/>
    </row>
    <row r="96" spans="1:10" s="146" customFormat="1" ht="12.75" customHeight="1" x14ac:dyDescent="0.2">
      <c r="A96" s="500"/>
      <c r="B96" s="501"/>
      <c r="C96" s="501"/>
      <c r="D96" s="501"/>
      <c r="E96" s="501"/>
      <c r="F96" s="501"/>
      <c r="G96" s="501"/>
      <c r="H96" s="501"/>
      <c r="I96" s="501"/>
      <c r="J96" s="502"/>
    </row>
    <row r="97" spans="1:10" s="146" customFormat="1" x14ac:dyDescent="0.2">
      <c r="A97" s="503"/>
      <c r="B97" s="504"/>
      <c r="C97" s="504"/>
      <c r="D97" s="504"/>
      <c r="E97" s="504"/>
      <c r="F97" s="504"/>
      <c r="G97" s="504"/>
      <c r="H97" s="504"/>
      <c r="I97" s="504"/>
      <c r="J97" s="505"/>
    </row>
    <row r="98" spans="1:10" s="146" customFormat="1" x14ac:dyDescent="0.2">
      <c r="A98" s="503"/>
      <c r="B98" s="504"/>
      <c r="C98" s="504"/>
      <c r="D98" s="504"/>
      <c r="E98" s="504"/>
      <c r="F98" s="504"/>
      <c r="G98" s="504"/>
      <c r="H98" s="504"/>
      <c r="I98" s="504"/>
      <c r="J98" s="505"/>
    </row>
    <row r="99" spans="1:10" s="146" customFormat="1" x14ac:dyDescent="0.2">
      <c r="A99" s="503"/>
      <c r="B99" s="504"/>
      <c r="C99" s="504"/>
      <c r="D99" s="504"/>
      <c r="E99" s="504"/>
      <c r="F99" s="504"/>
      <c r="G99" s="504"/>
      <c r="H99" s="504"/>
      <c r="I99" s="504"/>
      <c r="J99" s="505"/>
    </row>
    <row r="100" spans="1:10" s="146" customFormat="1" x14ac:dyDescent="0.2">
      <c r="A100" s="503"/>
      <c r="B100" s="504"/>
      <c r="C100" s="504"/>
      <c r="D100" s="504"/>
      <c r="E100" s="504"/>
      <c r="F100" s="504"/>
      <c r="G100" s="504"/>
      <c r="H100" s="504"/>
      <c r="I100" s="504"/>
      <c r="J100" s="505"/>
    </row>
    <row r="101" spans="1:10" s="146" customFormat="1" x14ac:dyDescent="0.2">
      <c r="A101" s="503"/>
      <c r="B101" s="504"/>
      <c r="C101" s="504"/>
      <c r="D101" s="504"/>
      <c r="E101" s="504"/>
      <c r="F101" s="504"/>
      <c r="G101" s="504"/>
      <c r="H101" s="504"/>
      <c r="I101" s="504"/>
      <c r="J101" s="505"/>
    </row>
    <row r="102" spans="1:10" s="146" customFormat="1" x14ac:dyDescent="0.2">
      <c r="A102" s="503"/>
      <c r="B102" s="504"/>
      <c r="C102" s="504"/>
      <c r="D102" s="504"/>
      <c r="E102" s="504"/>
      <c r="F102" s="504"/>
      <c r="G102" s="504"/>
      <c r="H102" s="504"/>
      <c r="I102" s="504"/>
      <c r="J102" s="505"/>
    </row>
    <row r="103" spans="1:10" s="146" customFormat="1" x14ac:dyDescent="0.2">
      <c r="A103" s="503"/>
      <c r="B103" s="504"/>
      <c r="C103" s="504"/>
      <c r="D103" s="504"/>
      <c r="E103" s="504"/>
      <c r="F103" s="504"/>
      <c r="G103" s="504"/>
      <c r="H103" s="504"/>
      <c r="I103" s="504"/>
      <c r="J103" s="505"/>
    </row>
    <row r="104" spans="1:10" s="146" customFormat="1" x14ac:dyDescent="0.2">
      <c r="A104" s="503"/>
      <c r="B104" s="504"/>
      <c r="C104" s="504"/>
      <c r="D104" s="504"/>
      <c r="E104" s="504"/>
      <c r="F104" s="504"/>
      <c r="G104" s="504"/>
      <c r="H104" s="504"/>
      <c r="I104" s="504"/>
      <c r="J104" s="505"/>
    </row>
    <row r="105" spans="1:10" s="146" customFormat="1" x14ac:dyDescent="0.2">
      <c r="A105" s="503"/>
      <c r="B105" s="504"/>
      <c r="C105" s="504"/>
      <c r="D105" s="504"/>
      <c r="E105" s="504"/>
      <c r="F105" s="504"/>
      <c r="G105" s="504"/>
      <c r="H105" s="504"/>
      <c r="I105" s="504"/>
      <c r="J105" s="505"/>
    </row>
    <row r="106" spans="1:10" s="146" customFormat="1" x14ac:dyDescent="0.2">
      <c r="A106" s="503"/>
      <c r="B106" s="504"/>
      <c r="C106" s="504"/>
      <c r="D106" s="504"/>
      <c r="E106" s="504"/>
      <c r="F106" s="504"/>
      <c r="G106" s="504"/>
      <c r="H106" s="504"/>
      <c r="I106" s="504"/>
      <c r="J106" s="505"/>
    </row>
    <row r="107" spans="1:10" s="146" customFormat="1" x14ac:dyDescent="0.2">
      <c r="A107" s="503"/>
      <c r="B107" s="504"/>
      <c r="C107" s="504"/>
      <c r="D107" s="504"/>
      <c r="E107" s="504"/>
      <c r="F107" s="504"/>
      <c r="G107" s="504"/>
      <c r="H107" s="504"/>
      <c r="I107" s="504"/>
      <c r="J107" s="505"/>
    </row>
    <row r="108" spans="1:10" s="146" customFormat="1" x14ac:dyDescent="0.2">
      <c r="A108" s="503"/>
      <c r="B108" s="504"/>
      <c r="C108" s="504"/>
      <c r="D108" s="504"/>
      <c r="E108" s="504"/>
      <c r="F108" s="504"/>
      <c r="G108" s="504"/>
      <c r="H108" s="504"/>
      <c r="I108" s="504"/>
      <c r="J108" s="505"/>
    </row>
    <row r="109" spans="1:10" ht="12.75" customHeight="1" x14ac:dyDescent="0.2">
      <c r="A109" s="503"/>
      <c r="B109" s="504"/>
      <c r="C109" s="504"/>
      <c r="D109" s="504"/>
      <c r="E109" s="504"/>
      <c r="F109" s="504"/>
      <c r="G109" s="504"/>
      <c r="H109" s="504"/>
      <c r="I109" s="504"/>
      <c r="J109" s="505"/>
    </row>
    <row r="110" spans="1:10" ht="12.75" customHeight="1" x14ac:dyDescent="0.2">
      <c r="A110" s="503"/>
      <c r="B110" s="504"/>
      <c r="C110" s="504"/>
      <c r="D110" s="504"/>
      <c r="E110" s="504"/>
      <c r="F110" s="504"/>
      <c r="G110" s="504"/>
      <c r="H110" s="504"/>
      <c r="I110" s="504"/>
      <c r="J110" s="505"/>
    </row>
    <row r="111" spans="1:10" ht="12.75" customHeight="1" x14ac:dyDescent="0.2">
      <c r="A111" s="503"/>
      <c r="B111" s="504"/>
      <c r="C111" s="504"/>
      <c r="D111" s="504"/>
      <c r="E111" s="504"/>
      <c r="F111" s="504"/>
      <c r="G111" s="504"/>
      <c r="H111" s="504"/>
      <c r="I111" s="504"/>
      <c r="J111" s="505"/>
    </row>
    <row r="112" spans="1:10" ht="15" customHeight="1" x14ac:dyDescent="0.2">
      <c r="A112" s="503"/>
      <c r="B112" s="504"/>
      <c r="C112" s="504"/>
      <c r="D112" s="504"/>
      <c r="E112" s="504"/>
      <c r="F112" s="504"/>
      <c r="G112" s="504"/>
      <c r="H112" s="504"/>
      <c r="I112" s="504"/>
      <c r="J112" s="505"/>
    </row>
    <row r="113" spans="1:10" s="146" customFormat="1" ht="12.75" customHeight="1" x14ac:dyDescent="0.2">
      <c r="A113" s="503"/>
      <c r="B113" s="504"/>
      <c r="C113" s="504"/>
      <c r="D113" s="504"/>
      <c r="E113" s="504"/>
      <c r="F113" s="504"/>
      <c r="G113" s="504"/>
      <c r="H113" s="504"/>
      <c r="I113" s="504"/>
      <c r="J113" s="505"/>
    </row>
    <row r="114" spans="1:10" s="146" customFormat="1" x14ac:dyDescent="0.2">
      <c r="A114" s="503"/>
      <c r="B114" s="504"/>
      <c r="C114" s="504"/>
      <c r="D114" s="504"/>
      <c r="E114" s="504"/>
      <c r="F114" s="504"/>
      <c r="G114" s="504"/>
      <c r="H114" s="504"/>
      <c r="I114" s="504"/>
      <c r="J114" s="505"/>
    </row>
    <row r="115" spans="1:10" s="146" customFormat="1" x14ac:dyDescent="0.2">
      <c r="A115" s="503"/>
      <c r="B115" s="504"/>
      <c r="C115" s="504"/>
      <c r="D115" s="504"/>
      <c r="E115" s="504"/>
      <c r="F115" s="504"/>
      <c r="G115" s="504"/>
      <c r="H115" s="504"/>
      <c r="I115" s="504"/>
      <c r="J115" s="505"/>
    </row>
    <row r="116" spans="1:10" s="146" customFormat="1" x14ac:dyDescent="0.2">
      <c r="A116" s="503"/>
      <c r="B116" s="504"/>
      <c r="C116" s="504"/>
      <c r="D116" s="504"/>
      <c r="E116" s="504"/>
      <c r="F116" s="504"/>
      <c r="G116" s="504"/>
      <c r="H116" s="504"/>
      <c r="I116" s="504"/>
      <c r="J116" s="505"/>
    </row>
    <row r="117" spans="1:10" s="146" customFormat="1" x14ac:dyDescent="0.2">
      <c r="A117" s="503"/>
      <c r="B117" s="504"/>
      <c r="C117" s="504"/>
      <c r="D117" s="504"/>
      <c r="E117" s="504"/>
      <c r="F117" s="504"/>
      <c r="G117" s="504"/>
      <c r="H117" s="504"/>
      <c r="I117" s="504"/>
      <c r="J117" s="505"/>
    </row>
    <row r="118" spans="1:10" s="146" customFormat="1" x14ac:dyDescent="0.2">
      <c r="A118" s="503"/>
      <c r="B118" s="504"/>
      <c r="C118" s="504"/>
      <c r="D118" s="504"/>
      <c r="E118" s="504"/>
      <c r="F118" s="504"/>
      <c r="G118" s="504"/>
      <c r="H118" s="504"/>
      <c r="I118" s="504"/>
      <c r="J118" s="505"/>
    </row>
    <row r="119" spans="1:10" s="146" customFormat="1" x14ac:dyDescent="0.2">
      <c r="A119" s="503"/>
      <c r="B119" s="504"/>
      <c r="C119" s="504"/>
      <c r="D119" s="504"/>
      <c r="E119" s="504"/>
      <c r="F119" s="504"/>
      <c r="G119" s="504"/>
      <c r="H119" s="504"/>
      <c r="I119" s="504"/>
      <c r="J119" s="505"/>
    </row>
    <row r="120" spans="1:10" s="146" customFormat="1" x14ac:dyDescent="0.2">
      <c r="A120" s="503"/>
      <c r="B120" s="504"/>
      <c r="C120" s="504"/>
      <c r="D120" s="504"/>
      <c r="E120" s="504"/>
      <c r="F120" s="504"/>
      <c r="G120" s="504"/>
      <c r="H120" s="504"/>
      <c r="I120" s="504"/>
      <c r="J120" s="505"/>
    </row>
    <row r="121" spans="1:10" s="146" customFormat="1" x14ac:dyDescent="0.2">
      <c r="A121" s="503"/>
      <c r="B121" s="504"/>
      <c r="C121" s="504"/>
      <c r="D121" s="504"/>
      <c r="E121" s="504"/>
      <c r="F121" s="504"/>
      <c r="G121" s="504"/>
      <c r="H121" s="504"/>
      <c r="I121" s="504"/>
      <c r="J121" s="505"/>
    </row>
    <row r="122" spans="1:10" s="146" customFormat="1" x14ac:dyDescent="0.2">
      <c r="A122" s="503"/>
      <c r="B122" s="504"/>
      <c r="C122" s="504"/>
      <c r="D122" s="504"/>
      <c r="E122" s="504"/>
      <c r="F122" s="504"/>
      <c r="G122" s="504"/>
      <c r="H122" s="504"/>
      <c r="I122" s="504"/>
      <c r="J122" s="505"/>
    </row>
    <row r="123" spans="1:10" s="146" customFormat="1" x14ac:dyDescent="0.2">
      <c r="A123" s="503"/>
      <c r="B123" s="504"/>
      <c r="C123" s="504"/>
      <c r="D123" s="504"/>
      <c r="E123" s="504"/>
      <c r="F123" s="504"/>
      <c r="G123" s="504"/>
      <c r="H123" s="504"/>
      <c r="I123" s="504"/>
      <c r="J123" s="505"/>
    </row>
    <row r="124" spans="1:10" s="146" customFormat="1" x14ac:dyDescent="0.2">
      <c r="A124" s="503"/>
      <c r="B124" s="504"/>
      <c r="C124" s="504"/>
      <c r="D124" s="504"/>
      <c r="E124" s="504"/>
      <c r="F124" s="504"/>
      <c r="G124" s="504"/>
      <c r="H124" s="504"/>
      <c r="I124" s="504"/>
      <c r="J124" s="505"/>
    </row>
    <row r="125" spans="1:10" s="146" customFormat="1" x14ac:dyDescent="0.2">
      <c r="A125" s="506"/>
      <c r="B125" s="507"/>
      <c r="C125" s="507"/>
      <c r="D125" s="507"/>
      <c r="E125" s="507"/>
      <c r="F125" s="507"/>
      <c r="G125" s="507"/>
      <c r="H125" s="507"/>
      <c r="I125" s="507"/>
      <c r="J125" s="508"/>
    </row>
    <row r="126" spans="1:10" s="146" customFormat="1" x14ac:dyDescent="0.2">
      <c r="A126" s="164"/>
      <c r="B126" s="163"/>
      <c r="C126" s="160"/>
      <c r="D126" s="162"/>
      <c r="E126" s="162"/>
      <c r="F126" s="162"/>
      <c r="G126" s="162"/>
      <c r="H126" s="161"/>
      <c r="I126" s="160"/>
      <c r="J126" s="159"/>
    </row>
    <row r="127" spans="1:10" ht="12.75" customHeight="1" x14ac:dyDescent="0.2">
      <c r="A127" s="473" t="s">
        <v>153</v>
      </c>
      <c r="B127" s="474"/>
      <c r="C127" s="474"/>
      <c r="D127" s="474"/>
      <c r="E127" s="474"/>
      <c r="F127" s="474"/>
      <c r="G127" s="474"/>
      <c r="H127" s="474"/>
      <c r="I127" s="474"/>
      <c r="J127" s="475"/>
    </row>
    <row r="128" spans="1:10" x14ac:dyDescent="0.2">
      <c r="A128" s="476"/>
      <c r="B128" s="477"/>
      <c r="C128" s="477"/>
      <c r="D128" s="477"/>
      <c r="E128" s="477"/>
      <c r="F128" s="477"/>
      <c r="G128" s="477"/>
      <c r="H128" s="477"/>
      <c r="I128" s="477"/>
      <c r="J128" s="478"/>
    </row>
    <row r="129" spans="1:10" ht="12.75" customHeight="1" x14ac:dyDescent="0.2">
      <c r="A129" s="479" t="s">
        <v>340</v>
      </c>
      <c r="B129" s="480"/>
      <c r="C129" s="480"/>
      <c r="D129" s="480"/>
      <c r="E129" s="480"/>
      <c r="F129" s="480"/>
      <c r="G129" s="480"/>
      <c r="H129" s="480"/>
      <c r="I129" s="480"/>
      <c r="J129" s="481"/>
    </row>
    <row r="130" spans="1:10" ht="12.75" customHeight="1" x14ac:dyDescent="0.2">
      <c r="A130" s="482"/>
      <c r="B130" s="483"/>
      <c r="C130" s="483"/>
      <c r="D130" s="483"/>
      <c r="E130" s="483"/>
      <c r="F130" s="483"/>
      <c r="G130" s="483"/>
      <c r="H130" s="483"/>
      <c r="I130" s="483"/>
      <c r="J130" s="484"/>
    </row>
    <row r="131" spans="1:10" ht="12.75" customHeight="1" x14ac:dyDescent="0.2">
      <c r="A131" s="482"/>
      <c r="B131" s="483"/>
      <c r="C131" s="483"/>
      <c r="D131" s="483"/>
      <c r="E131" s="483"/>
      <c r="F131" s="483"/>
      <c r="G131" s="483"/>
      <c r="H131" s="483"/>
      <c r="I131" s="483"/>
      <c r="J131" s="484"/>
    </row>
    <row r="132" spans="1:10" ht="15" customHeight="1" x14ac:dyDescent="0.2">
      <c r="A132" s="485"/>
      <c r="B132" s="486"/>
      <c r="C132" s="486"/>
      <c r="D132" s="486"/>
      <c r="E132" s="486"/>
      <c r="F132" s="486"/>
      <c r="G132" s="486"/>
      <c r="H132" s="486"/>
      <c r="I132" s="486"/>
      <c r="J132" s="487"/>
    </row>
    <row r="133" spans="1:10" s="146" customFormat="1" ht="12.75" customHeight="1" x14ac:dyDescent="0.2">
      <c r="A133" s="348" t="s">
        <v>151</v>
      </c>
      <c r="B133" s="349"/>
      <c r="C133" s="349"/>
      <c r="D133" s="349"/>
      <c r="E133" s="349"/>
      <c r="F133" s="366"/>
      <c r="G133" s="366"/>
      <c r="H133" s="366"/>
      <c r="I133" s="366"/>
      <c r="J133" s="367"/>
    </row>
    <row r="134" spans="1:10" ht="12.75" customHeight="1" x14ac:dyDescent="0.2">
      <c r="A134" s="479" t="s">
        <v>152</v>
      </c>
      <c r="B134" s="480"/>
      <c r="C134" s="480"/>
      <c r="D134" s="480"/>
      <c r="E134" s="480"/>
      <c r="F134" s="480"/>
      <c r="G134" s="480"/>
      <c r="H134" s="480"/>
      <c r="I134" s="480"/>
      <c r="J134" s="481"/>
    </row>
    <row r="135" spans="1:10" ht="12.75" customHeight="1" x14ac:dyDescent="0.2">
      <c r="A135" s="482"/>
      <c r="B135" s="483"/>
      <c r="C135" s="483"/>
      <c r="D135" s="483"/>
      <c r="E135" s="483"/>
      <c r="F135" s="483"/>
      <c r="G135" s="483"/>
      <c r="H135" s="483"/>
      <c r="I135" s="483"/>
      <c r="J135" s="484"/>
    </row>
    <row r="136" spans="1:10" ht="12.75" customHeight="1" x14ac:dyDescent="0.2">
      <c r="A136" s="482"/>
      <c r="B136" s="483"/>
      <c r="C136" s="483"/>
      <c r="D136" s="483"/>
      <c r="E136" s="483"/>
      <c r="F136" s="483"/>
      <c r="G136" s="483"/>
      <c r="H136" s="483"/>
      <c r="I136" s="483"/>
      <c r="J136" s="484"/>
    </row>
    <row r="137" spans="1:10" ht="15" customHeight="1" x14ac:dyDescent="0.2">
      <c r="A137" s="485"/>
      <c r="B137" s="486"/>
      <c r="C137" s="486"/>
      <c r="D137" s="486"/>
      <c r="E137" s="486"/>
      <c r="F137" s="486"/>
      <c r="G137" s="486"/>
      <c r="H137" s="486"/>
      <c r="I137" s="486"/>
      <c r="J137" s="487"/>
    </row>
    <row r="138" spans="1:10" s="146" customFormat="1" ht="12.75" customHeight="1" x14ac:dyDescent="0.2">
      <c r="A138" s="488"/>
      <c r="B138" s="489"/>
      <c r="C138" s="489"/>
      <c r="D138" s="489"/>
      <c r="E138" s="489"/>
      <c r="F138" s="489"/>
      <c r="G138" s="489"/>
      <c r="H138" s="489"/>
      <c r="I138" s="489"/>
      <c r="J138" s="490"/>
    </row>
    <row r="139" spans="1:10" s="146" customFormat="1" x14ac:dyDescent="0.2">
      <c r="A139" s="488"/>
      <c r="B139" s="489"/>
      <c r="C139" s="489"/>
      <c r="D139" s="489"/>
      <c r="E139" s="489"/>
      <c r="F139" s="489"/>
      <c r="G139" s="489"/>
      <c r="H139" s="489"/>
      <c r="I139" s="489"/>
      <c r="J139" s="490"/>
    </row>
    <row r="140" spans="1:10" s="146" customFormat="1" x14ac:dyDescent="0.2">
      <c r="A140" s="488"/>
      <c r="B140" s="489"/>
      <c r="C140" s="489"/>
      <c r="D140" s="489"/>
      <c r="E140" s="489"/>
      <c r="F140" s="489"/>
      <c r="G140" s="489"/>
      <c r="H140" s="489"/>
      <c r="I140" s="489"/>
      <c r="J140" s="490"/>
    </row>
    <row r="141" spans="1:10" s="146" customFormat="1" x14ac:dyDescent="0.2">
      <c r="A141" s="488"/>
      <c r="B141" s="489"/>
      <c r="C141" s="489"/>
      <c r="D141" s="489"/>
      <c r="E141" s="489"/>
      <c r="F141" s="489"/>
      <c r="G141" s="489"/>
      <c r="H141" s="489"/>
      <c r="I141" s="489"/>
      <c r="J141" s="490"/>
    </row>
    <row r="142" spans="1:10" s="146" customFormat="1" x14ac:dyDescent="0.2">
      <c r="A142" s="488"/>
      <c r="B142" s="489"/>
      <c r="C142" s="489"/>
      <c r="D142" s="489"/>
      <c r="E142" s="489"/>
      <c r="F142" s="489"/>
      <c r="G142" s="489"/>
      <c r="H142" s="489"/>
      <c r="I142" s="489"/>
      <c r="J142" s="490"/>
    </row>
    <row r="143" spans="1:10" s="146" customFormat="1" x14ac:dyDescent="0.2">
      <c r="A143" s="488"/>
      <c r="B143" s="489"/>
      <c r="C143" s="489"/>
      <c r="D143" s="489"/>
      <c r="E143" s="489"/>
      <c r="F143" s="489"/>
      <c r="G143" s="489"/>
      <c r="H143" s="489"/>
      <c r="I143" s="489"/>
      <c r="J143" s="490"/>
    </row>
    <row r="144" spans="1:10" s="146" customFormat="1" x14ac:dyDescent="0.2">
      <c r="A144" s="488"/>
      <c r="B144" s="489"/>
      <c r="C144" s="489"/>
      <c r="D144" s="489"/>
      <c r="E144" s="489"/>
      <c r="F144" s="489"/>
      <c r="G144" s="489"/>
      <c r="H144" s="489"/>
      <c r="I144" s="489"/>
      <c r="J144" s="490"/>
    </row>
    <row r="145" spans="1:10" s="146" customFormat="1" x14ac:dyDescent="0.2">
      <c r="A145" s="488"/>
      <c r="B145" s="489"/>
      <c r="C145" s="489"/>
      <c r="D145" s="489"/>
      <c r="E145" s="489"/>
      <c r="F145" s="489"/>
      <c r="G145" s="489"/>
      <c r="H145" s="489"/>
      <c r="I145" s="489"/>
      <c r="J145" s="490"/>
    </row>
    <row r="146" spans="1:10" s="146" customFormat="1" x14ac:dyDescent="0.2">
      <c r="A146" s="488"/>
      <c r="B146" s="489"/>
      <c r="C146" s="489"/>
      <c r="D146" s="489"/>
      <c r="E146" s="489"/>
      <c r="F146" s="489"/>
      <c r="G146" s="489"/>
      <c r="H146" s="489"/>
      <c r="I146" s="489"/>
      <c r="J146" s="490"/>
    </row>
    <row r="147" spans="1:10" s="146" customFormat="1" x14ac:dyDescent="0.2">
      <c r="A147" s="488"/>
      <c r="B147" s="489"/>
      <c r="C147" s="489"/>
      <c r="D147" s="489"/>
      <c r="E147" s="489"/>
      <c r="F147" s="489"/>
      <c r="G147" s="489"/>
      <c r="H147" s="489"/>
      <c r="I147" s="489"/>
      <c r="J147" s="490"/>
    </row>
    <row r="148" spans="1:10" s="146" customFormat="1" x14ac:dyDescent="0.2">
      <c r="A148" s="488"/>
      <c r="B148" s="489"/>
      <c r="C148" s="489"/>
      <c r="D148" s="489"/>
      <c r="E148" s="489"/>
      <c r="F148" s="489"/>
      <c r="G148" s="489"/>
      <c r="H148" s="489"/>
      <c r="I148" s="489"/>
      <c r="J148" s="490"/>
    </row>
    <row r="149" spans="1:10" s="146" customFormat="1" x14ac:dyDescent="0.2">
      <c r="A149" s="488"/>
      <c r="B149" s="489"/>
      <c r="C149" s="489"/>
      <c r="D149" s="489"/>
      <c r="E149" s="489"/>
      <c r="F149" s="489"/>
      <c r="G149" s="489"/>
      <c r="H149" s="489"/>
      <c r="I149" s="489"/>
      <c r="J149" s="490"/>
    </row>
    <row r="150" spans="1:10" s="146" customFormat="1" x14ac:dyDescent="0.2">
      <c r="A150" s="488"/>
      <c r="B150" s="489"/>
      <c r="C150" s="489"/>
      <c r="D150" s="489"/>
      <c r="E150" s="489"/>
      <c r="F150" s="489"/>
      <c r="G150" s="489"/>
      <c r="H150" s="489"/>
      <c r="I150" s="489"/>
      <c r="J150" s="490"/>
    </row>
    <row r="151" spans="1:10" ht="12.75" customHeight="1" x14ac:dyDescent="0.2">
      <c r="A151" s="479" t="s">
        <v>343</v>
      </c>
      <c r="B151" s="480"/>
      <c r="C151" s="480"/>
      <c r="D151" s="480"/>
      <c r="E151" s="480"/>
      <c r="F151" s="480"/>
      <c r="G151" s="480"/>
      <c r="H151" s="480"/>
      <c r="I151" s="480"/>
      <c r="J151" s="481"/>
    </row>
    <row r="152" spans="1:10" ht="12.75" customHeight="1" x14ac:dyDescent="0.2">
      <c r="A152" s="482"/>
      <c r="B152" s="483"/>
      <c r="C152" s="483"/>
      <c r="D152" s="483"/>
      <c r="E152" s="483"/>
      <c r="F152" s="483"/>
      <c r="G152" s="483"/>
      <c r="H152" s="483"/>
      <c r="I152" s="483"/>
      <c r="J152" s="484"/>
    </row>
    <row r="153" spans="1:10" ht="12.75" customHeight="1" x14ac:dyDescent="0.2">
      <c r="A153" s="482"/>
      <c r="B153" s="483"/>
      <c r="C153" s="483"/>
      <c r="D153" s="483"/>
      <c r="E153" s="483"/>
      <c r="F153" s="483"/>
      <c r="G153" s="483"/>
      <c r="H153" s="483"/>
      <c r="I153" s="483"/>
      <c r="J153" s="484"/>
    </row>
    <row r="154" spans="1:10" ht="15" customHeight="1" x14ac:dyDescent="0.2">
      <c r="A154" s="485"/>
      <c r="B154" s="486"/>
      <c r="C154" s="486"/>
      <c r="D154" s="486"/>
      <c r="E154" s="486"/>
      <c r="F154" s="486"/>
      <c r="G154" s="486"/>
      <c r="H154" s="486"/>
      <c r="I154" s="486"/>
      <c r="J154" s="487"/>
    </row>
    <row r="155" spans="1:10" s="146" customFormat="1" ht="12.75" customHeight="1" x14ac:dyDescent="0.2">
      <c r="A155" s="488"/>
      <c r="B155" s="489"/>
      <c r="C155" s="489"/>
      <c r="D155" s="489"/>
      <c r="E155" s="489"/>
      <c r="F155" s="489"/>
      <c r="G155" s="489"/>
      <c r="H155" s="489"/>
      <c r="I155" s="489"/>
      <c r="J155" s="490"/>
    </row>
    <row r="156" spans="1:10" s="146" customFormat="1" x14ac:dyDescent="0.2">
      <c r="A156" s="488"/>
      <c r="B156" s="489"/>
      <c r="C156" s="489"/>
      <c r="D156" s="489"/>
      <c r="E156" s="489"/>
      <c r="F156" s="489"/>
      <c r="G156" s="489"/>
      <c r="H156" s="489"/>
      <c r="I156" s="489"/>
      <c r="J156" s="490"/>
    </row>
    <row r="157" spans="1:10" s="146" customFormat="1" x14ac:dyDescent="0.2">
      <c r="A157" s="488"/>
      <c r="B157" s="489"/>
      <c r="C157" s="489"/>
      <c r="D157" s="489"/>
      <c r="E157" s="489"/>
      <c r="F157" s="489"/>
      <c r="G157" s="489"/>
      <c r="H157" s="489"/>
      <c r="I157" s="489"/>
      <c r="J157" s="490"/>
    </row>
    <row r="158" spans="1:10" s="146" customFormat="1" x14ac:dyDescent="0.2">
      <c r="A158" s="488"/>
      <c r="B158" s="489"/>
      <c r="C158" s="489"/>
      <c r="D158" s="489"/>
      <c r="E158" s="489"/>
      <c r="F158" s="489"/>
      <c r="G158" s="489"/>
      <c r="H158" s="489"/>
      <c r="I158" s="489"/>
      <c r="J158" s="490"/>
    </row>
    <row r="159" spans="1:10" s="146" customFormat="1" x14ac:dyDescent="0.2">
      <c r="A159" s="488"/>
      <c r="B159" s="489"/>
      <c r="C159" s="489"/>
      <c r="D159" s="489"/>
      <c r="E159" s="489"/>
      <c r="F159" s="489"/>
      <c r="G159" s="489"/>
      <c r="H159" s="489"/>
      <c r="I159" s="489"/>
      <c r="J159" s="490"/>
    </row>
    <row r="160" spans="1:10" s="146" customFormat="1" x14ac:dyDescent="0.2">
      <c r="A160" s="488"/>
      <c r="B160" s="489"/>
      <c r="C160" s="489"/>
      <c r="D160" s="489"/>
      <c r="E160" s="489"/>
      <c r="F160" s="489"/>
      <c r="G160" s="489"/>
      <c r="H160" s="489"/>
      <c r="I160" s="489"/>
      <c r="J160" s="490"/>
    </row>
    <row r="161" spans="1:10" s="146" customFormat="1" x14ac:dyDescent="0.2">
      <c r="A161" s="488"/>
      <c r="B161" s="489"/>
      <c r="C161" s="489"/>
      <c r="D161" s="489"/>
      <c r="E161" s="489"/>
      <c r="F161" s="489"/>
      <c r="G161" s="489"/>
      <c r="H161" s="489"/>
      <c r="I161" s="489"/>
      <c r="J161" s="490"/>
    </row>
    <row r="162" spans="1:10" s="146" customFormat="1" x14ac:dyDescent="0.2">
      <c r="A162" s="488"/>
      <c r="B162" s="489"/>
      <c r="C162" s="489"/>
      <c r="D162" s="489"/>
      <c r="E162" s="489"/>
      <c r="F162" s="489"/>
      <c r="G162" s="489"/>
      <c r="H162" s="489"/>
      <c r="I162" s="489"/>
      <c r="J162" s="490"/>
    </row>
    <row r="163" spans="1:10" s="146" customFormat="1" x14ac:dyDescent="0.2">
      <c r="A163" s="488"/>
      <c r="B163" s="489"/>
      <c r="C163" s="489"/>
      <c r="D163" s="489"/>
      <c r="E163" s="489"/>
      <c r="F163" s="489"/>
      <c r="G163" s="489"/>
      <c r="H163" s="489"/>
      <c r="I163" s="489"/>
      <c r="J163" s="490"/>
    </row>
    <row r="164" spans="1:10" s="146" customFormat="1" x14ac:dyDescent="0.2">
      <c r="A164" s="488"/>
      <c r="B164" s="489"/>
      <c r="C164" s="489"/>
      <c r="D164" s="489"/>
      <c r="E164" s="489"/>
      <c r="F164" s="489"/>
      <c r="G164" s="489"/>
      <c r="H164" s="489"/>
      <c r="I164" s="489"/>
      <c r="J164" s="490"/>
    </row>
    <row r="165" spans="1:10" s="146" customFormat="1" x14ac:dyDescent="0.2">
      <c r="A165" s="488"/>
      <c r="B165" s="489"/>
      <c r="C165" s="489"/>
      <c r="D165" s="489"/>
      <c r="E165" s="489"/>
      <c r="F165" s="489"/>
      <c r="G165" s="489"/>
      <c r="H165" s="489"/>
      <c r="I165" s="489"/>
      <c r="J165" s="490"/>
    </row>
    <row r="166" spans="1:10" s="146" customFormat="1" x14ac:dyDescent="0.2">
      <c r="A166" s="488"/>
      <c r="B166" s="489"/>
      <c r="C166" s="489"/>
      <c r="D166" s="489"/>
      <c r="E166" s="489"/>
      <c r="F166" s="489"/>
      <c r="G166" s="489"/>
      <c r="H166" s="489"/>
      <c r="I166" s="489"/>
      <c r="J166" s="490"/>
    </row>
    <row r="167" spans="1:10" s="146" customFormat="1" x14ac:dyDescent="0.2">
      <c r="A167" s="488"/>
      <c r="B167" s="489"/>
      <c r="C167" s="489"/>
      <c r="D167" s="489"/>
      <c r="E167" s="489"/>
      <c r="F167" s="489"/>
      <c r="G167" s="489"/>
      <c r="H167" s="489"/>
      <c r="I167" s="489"/>
      <c r="J167" s="490"/>
    </row>
    <row r="168" spans="1:10" s="146" customFormat="1" x14ac:dyDescent="0.2">
      <c r="A168" s="164"/>
      <c r="B168" s="163"/>
      <c r="C168" s="160"/>
      <c r="D168" s="162"/>
      <c r="E168" s="162"/>
      <c r="F168" s="162"/>
      <c r="G168" s="162"/>
      <c r="H168" s="161"/>
      <c r="I168" s="160"/>
      <c r="J168" s="159"/>
    </row>
    <row r="169" spans="1:10" x14ac:dyDescent="0.2">
      <c r="A169" s="473" t="s">
        <v>155</v>
      </c>
      <c r="B169" s="474"/>
      <c r="C169" s="474"/>
      <c r="D169" s="474"/>
      <c r="E169" s="474"/>
      <c r="F169" s="474"/>
      <c r="G169" s="474"/>
      <c r="H169" s="474"/>
      <c r="I169" s="474"/>
      <c r="J169" s="475"/>
    </row>
    <row r="170" spans="1:10" x14ac:dyDescent="0.2">
      <c r="A170" s="476"/>
      <c r="B170" s="477"/>
      <c r="C170" s="477"/>
      <c r="D170" s="477"/>
      <c r="E170" s="477"/>
      <c r="F170" s="477"/>
      <c r="G170" s="477"/>
      <c r="H170" s="477"/>
      <c r="I170" s="477"/>
      <c r="J170" s="478"/>
    </row>
    <row r="171" spans="1:10" ht="12.75" customHeight="1" x14ac:dyDescent="0.2">
      <c r="A171" s="479" t="s">
        <v>347</v>
      </c>
      <c r="B171" s="480"/>
      <c r="C171" s="480"/>
      <c r="D171" s="480"/>
      <c r="E171" s="480"/>
      <c r="F171" s="480"/>
      <c r="G171" s="480"/>
      <c r="H171" s="480"/>
      <c r="I171" s="480"/>
      <c r="J171" s="481"/>
    </row>
    <row r="172" spans="1:10" ht="12.75" customHeight="1" x14ac:dyDescent="0.2">
      <c r="A172" s="482"/>
      <c r="B172" s="483"/>
      <c r="C172" s="483"/>
      <c r="D172" s="483"/>
      <c r="E172" s="483"/>
      <c r="F172" s="483"/>
      <c r="G172" s="483"/>
      <c r="H172" s="483"/>
      <c r="I172" s="483"/>
      <c r="J172" s="484"/>
    </row>
    <row r="173" spans="1:10" ht="12.75" customHeight="1" x14ac:dyDescent="0.2">
      <c r="A173" s="482"/>
      <c r="B173" s="483"/>
      <c r="C173" s="483"/>
      <c r="D173" s="483"/>
      <c r="E173" s="483"/>
      <c r="F173" s="483"/>
      <c r="G173" s="483"/>
      <c r="H173" s="483"/>
      <c r="I173" s="483"/>
      <c r="J173" s="484"/>
    </row>
    <row r="174" spans="1:10" ht="15" customHeight="1" x14ac:dyDescent="0.2">
      <c r="A174" s="485"/>
      <c r="B174" s="486"/>
      <c r="C174" s="486"/>
      <c r="D174" s="486"/>
      <c r="E174" s="486"/>
      <c r="F174" s="486"/>
      <c r="G174" s="486"/>
      <c r="H174" s="486"/>
      <c r="I174" s="486"/>
      <c r="J174" s="487"/>
    </row>
    <row r="175" spans="1:10" s="146" customFormat="1" ht="12.75" customHeight="1" x14ac:dyDescent="0.2">
      <c r="A175" s="348" t="s">
        <v>154</v>
      </c>
      <c r="B175" s="349"/>
      <c r="C175" s="349"/>
      <c r="D175" s="349"/>
      <c r="E175" s="349"/>
      <c r="F175" s="366"/>
      <c r="G175" s="366"/>
      <c r="H175" s="366"/>
      <c r="I175" s="366"/>
      <c r="J175" s="367"/>
    </row>
    <row r="176" spans="1:10" ht="12.75" customHeight="1" x14ac:dyDescent="0.2">
      <c r="A176" s="479" t="s">
        <v>344</v>
      </c>
      <c r="B176" s="480"/>
      <c r="C176" s="480"/>
      <c r="D176" s="480"/>
      <c r="E176" s="480"/>
      <c r="F176" s="480"/>
      <c r="G176" s="480"/>
      <c r="H176" s="480"/>
      <c r="I176" s="480"/>
      <c r="J176" s="481"/>
    </row>
    <row r="177" spans="1:10" ht="12.75" customHeight="1" x14ac:dyDescent="0.2">
      <c r="A177" s="482"/>
      <c r="B177" s="483"/>
      <c r="C177" s="483"/>
      <c r="D177" s="483"/>
      <c r="E177" s="483"/>
      <c r="F177" s="483"/>
      <c r="G177" s="483"/>
      <c r="H177" s="483"/>
      <c r="I177" s="483"/>
      <c r="J177" s="484"/>
    </row>
    <row r="178" spans="1:10" ht="12.75" customHeight="1" x14ac:dyDescent="0.2">
      <c r="A178" s="482"/>
      <c r="B178" s="483"/>
      <c r="C178" s="483"/>
      <c r="D178" s="483"/>
      <c r="E178" s="483"/>
      <c r="F178" s="483"/>
      <c r="G178" s="483"/>
      <c r="H178" s="483"/>
      <c r="I178" s="483"/>
      <c r="J178" s="484"/>
    </row>
    <row r="179" spans="1:10" ht="15" customHeight="1" x14ac:dyDescent="0.2">
      <c r="A179" s="485"/>
      <c r="B179" s="486"/>
      <c r="C179" s="486"/>
      <c r="D179" s="486"/>
      <c r="E179" s="486"/>
      <c r="F179" s="486"/>
      <c r="G179" s="486"/>
      <c r="H179" s="486"/>
      <c r="I179" s="486"/>
      <c r="J179" s="487"/>
    </row>
    <row r="180" spans="1:10" s="146" customFormat="1" ht="12.75" customHeight="1" x14ac:dyDescent="0.2">
      <c r="A180" s="488"/>
      <c r="B180" s="489"/>
      <c r="C180" s="489"/>
      <c r="D180" s="489"/>
      <c r="E180" s="489"/>
      <c r="F180" s="489"/>
      <c r="G180" s="489"/>
      <c r="H180" s="489"/>
      <c r="I180" s="489"/>
      <c r="J180" s="490"/>
    </row>
    <row r="181" spans="1:10" s="146" customFormat="1" x14ac:dyDescent="0.2">
      <c r="A181" s="488"/>
      <c r="B181" s="489"/>
      <c r="C181" s="489"/>
      <c r="D181" s="489"/>
      <c r="E181" s="489"/>
      <c r="F181" s="489"/>
      <c r="G181" s="489"/>
      <c r="H181" s="489"/>
      <c r="I181" s="489"/>
      <c r="J181" s="490"/>
    </row>
    <row r="182" spans="1:10" s="146" customFormat="1" x14ac:dyDescent="0.2">
      <c r="A182" s="488"/>
      <c r="B182" s="489"/>
      <c r="C182" s="489"/>
      <c r="D182" s="489"/>
      <c r="E182" s="489"/>
      <c r="F182" s="489"/>
      <c r="G182" s="489"/>
      <c r="H182" s="489"/>
      <c r="I182" s="489"/>
      <c r="J182" s="490"/>
    </row>
    <row r="183" spans="1:10" s="146" customFormat="1" x14ac:dyDescent="0.2">
      <c r="A183" s="488"/>
      <c r="B183" s="489"/>
      <c r="C183" s="489"/>
      <c r="D183" s="489"/>
      <c r="E183" s="489"/>
      <c r="F183" s="489"/>
      <c r="G183" s="489"/>
      <c r="H183" s="489"/>
      <c r="I183" s="489"/>
      <c r="J183" s="490"/>
    </row>
    <row r="184" spans="1:10" s="146" customFormat="1" x14ac:dyDescent="0.2">
      <c r="A184" s="488"/>
      <c r="B184" s="489"/>
      <c r="C184" s="489"/>
      <c r="D184" s="489"/>
      <c r="E184" s="489"/>
      <c r="F184" s="489"/>
      <c r="G184" s="489"/>
      <c r="H184" s="489"/>
      <c r="I184" s="489"/>
      <c r="J184" s="490"/>
    </row>
    <row r="185" spans="1:10" s="146" customFormat="1" x14ac:dyDescent="0.2">
      <c r="A185" s="488"/>
      <c r="B185" s="489"/>
      <c r="C185" s="489"/>
      <c r="D185" s="489"/>
      <c r="E185" s="489"/>
      <c r="F185" s="489"/>
      <c r="G185" s="489"/>
      <c r="H185" s="489"/>
      <c r="I185" s="489"/>
      <c r="J185" s="490"/>
    </row>
    <row r="186" spans="1:10" s="146" customFormat="1" x14ac:dyDescent="0.2">
      <c r="A186" s="488"/>
      <c r="B186" s="489"/>
      <c r="C186" s="489"/>
      <c r="D186" s="489"/>
      <c r="E186" s="489"/>
      <c r="F186" s="489"/>
      <c r="G186" s="489"/>
      <c r="H186" s="489"/>
      <c r="I186" s="489"/>
      <c r="J186" s="490"/>
    </row>
    <row r="187" spans="1:10" s="146" customFormat="1" x14ac:dyDescent="0.2">
      <c r="A187" s="488"/>
      <c r="B187" s="489"/>
      <c r="C187" s="489"/>
      <c r="D187" s="489"/>
      <c r="E187" s="489"/>
      <c r="F187" s="489"/>
      <c r="G187" s="489"/>
      <c r="H187" s="489"/>
      <c r="I187" s="489"/>
      <c r="J187" s="490"/>
    </row>
    <row r="188" spans="1:10" s="146" customFormat="1" x14ac:dyDescent="0.2">
      <c r="A188" s="488"/>
      <c r="B188" s="489"/>
      <c r="C188" s="489"/>
      <c r="D188" s="489"/>
      <c r="E188" s="489"/>
      <c r="F188" s="489"/>
      <c r="G188" s="489"/>
      <c r="H188" s="489"/>
      <c r="I188" s="489"/>
      <c r="J188" s="490"/>
    </row>
    <row r="189" spans="1:10" s="146" customFormat="1" x14ac:dyDescent="0.2">
      <c r="A189" s="488"/>
      <c r="B189" s="489"/>
      <c r="C189" s="489"/>
      <c r="D189" s="489"/>
      <c r="E189" s="489"/>
      <c r="F189" s="489"/>
      <c r="G189" s="489"/>
      <c r="H189" s="489"/>
      <c r="I189" s="489"/>
      <c r="J189" s="490"/>
    </row>
    <row r="190" spans="1:10" s="146" customFormat="1" x14ac:dyDescent="0.2">
      <c r="A190" s="488"/>
      <c r="B190" s="489"/>
      <c r="C190" s="489"/>
      <c r="D190" s="489"/>
      <c r="E190" s="489"/>
      <c r="F190" s="489"/>
      <c r="G190" s="489"/>
      <c r="H190" s="489"/>
      <c r="I190" s="489"/>
      <c r="J190" s="490"/>
    </row>
    <row r="191" spans="1:10" s="146" customFormat="1" x14ac:dyDescent="0.2">
      <c r="A191" s="488"/>
      <c r="B191" s="489"/>
      <c r="C191" s="489"/>
      <c r="D191" s="489"/>
      <c r="E191" s="489"/>
      <c r="F191" s="489"/>
      <c r="G191" s="489"/>
      <c r="H191" s="489"/>
      <c r="I191" s="489"/>
      <c r="J191" s="490"/>
    </row>
    <row r="192" spans="1:10" s="146" customFormat="1" x14ac:dyDescent="0.2">
      <c r="A192" s="488"/>
      <c r="B192" s="489"/>
      <c r="C192" s="489"/>
      <c r="D192" s="489"/>
      <c r="E192" s="489"/>
      <c r="F192" s="489"/>
      <c r="G192" s="489"/>
      <c r="H192" s="489"/>
      <c r="I192" s="489"/>
      <c r="J192" s="490"/>
    </row>
    <row r="193" spans="1:10" s="146" customFormat="1" x14ac:dyDescent="0.2">
      <c r="A193" s="488"/>
      <c r="B193" s="489"/>
      <c r="C193" s="489"/>
      <c r="D193" s="489"/>
      <c r="E193" s="489"/>
      <c r="F193" s="489"/>
      <c r="G193" s="489"/>
      <c r="H193" s="489"/>
      <c r="I193" s="489"/>
      <c r="J193" s="490"/>
    </row>
    <row r="194" spans="1:10" s="146" customFormat="1" x14ac:dyDescent="0.2">
      <c r="A194" s="488"/>
      <c r="B194" s="489"/>
      <c r="C194" s="489"/>
      <c r="D194" s="489"/>
      <c r="E194" s="489"/>
      <c r="F194" s="489"/>
      <c r="G194" s="489"/>
      <c r="H194" s="489"/>
      <c r="I194" s="489"/>
      <c r="J194" s="490"/>
    </row>
    <row r="195" spans="1:10" s="146" customFormat="1" x14ac:dyDescent="0.2">
      <c r="A195" s="488"/>
      <c r="B195" s="489"/>
      <c r="C195" s="489"/>
      <c r="D195" s="489"/>
      <c r="E195" s="489"/>
      <c r="F195" s="489"/>
      <c r="G195" s="489"/>
      <c r="H195" s="489"/>
      <c r="I195" s="489"/>
      <c r="J195" s="490"/>
    </row>
    <row r="196" spans="1:10" s="146" customFormat="1" x14ac:dyDescent="0.2">
      <c r="A196" s="488"/>
      <c r="B196" s="489"/>
      <c r="C196" s="489"/>
      <c r="D196" s="489"/>
      <c r="E196" s="489"/>
      <c r="F196" s="489"/>
      <c r="G196" s="489"/>
      <c r="H196" s="489"/>
      <c r="I196" s="489"/>
      <c r="J196" s="490"/>
    </row>
    <row r="197" spans="1:10" s="146" customFormat="1" x14ac:dyDescent="0.2">
      <c r="A197" s="488"/>
      <c r="B197" s="489"/>
      <c r="C197" s="489"/>
      <c r="D197" s="489"/>
      <c r="E197" s="489"/>
      <c r="F197" s="489"/>
      <c r="G197" s="489"/>
      <c r="H197" s="489"/>
      <c r="I197" s="489"/>
      <c r="J197" s="490"/>
    </row>
    <row r="198" spans="1:10" s="146" customFormat="1" x14ac:dyDescent="0.2">
      <c r="A198" s="488"/>
      <c r="B198" s="489"/>
      <c r="C198" s="489"/>
      <c r="D198" s="489"/>
      <c r="E198" s="489"/>
      <c r="F198" s="489"/>
      <c r="G198" s="489"/>
      <c r="H198" s="489"/>
      <c r="I198" s="489"/>
      <c r="J198" s="490"/>
    </row>
    <row r="199" spans="1:10" s="146" customFormat="1" x14ac:dyDescent="0.2">
      <c r="A199" s="488"/>
      <c r="B199" s="489"/>
      <c r="C199" s="489"/>
      <c r="D199" s="489"/>
      <c r="E199" s="489"/>
      <c r="F199" s="489"/>
      <c r="G199" s="489"/>
      <c r="H199" s="489"/>
      <c r="I199" s="489"/>
      <c r="J199" s="490"/>
    </row>
    <row r="200" spans="1:10" s="146" customFormat="1" x14ac:dyDescent="0.2">
      <c r="A200" s="488"/>
      <c r="B200" s="489"/>
      <c r="C200" s="489"/>
      <c r="D200" s="489"/>
      <c r="E200" s="489"/>
      <c r="F200" s="489"/>
      <c r="G200" s="489"/>
      <c r="H200" s="489"/>
      <c r="I200" s="489"/>
      <c r="J200" s="490"/>
    </row>
    <row r="201" spans="1:10" s="146" customFormat="1" x14ac:dyDescent="0.2">
      <c r="A201" s="488"/>
      <c r="B201" s="489"/>
      <c r="C201" s="489"/>
      <c r="D201" s="489"/>
      <c r="E201" s="489"/>
      <c r="F201" s="489"/>
      <c r="G201" s="489"/>
      <c r="H201" s="489"/>
      <c r="I201" s="489"/>
      <c r="J201" s="490"/>
    </row>
    <row r="202" spans="1:10" s="146" customFormat="1" x14ac:dyDescent="0.2">
      <c r="A202" s="488"/>
      <c r="B202" s="489"/>
      <c r="C202" s="489"/>
      <c r="D202" s="489"/>
      <c r="E202" s="489"/>
      <c r="F202" s="489"/>
      <c r="G202" s="489"/>
      <c r="H202" s="489"/>
      <c r="I202" s="489"/>
      <c r="J202" s="490"/>
    </row>
    <row r="203" spans="1:10" s="146" customFormat="1" x14ac:dyDescent="0.2">
      <c r="A203" s="488"/>
      <c r="B203" s="489"/>
      <c r="C203" s="489"/>
      <c r="D203" s="489"/>
      <c r="E203" s="489"/>
      <c r="F203" s="489"/>
      <c r="G203" s="489"/>
      <c r="H203" s="489"/>
      <c r="I203" s="489"/>
      <c r="J203" s="490"/>
    </row>
    <row r="204" spans="1:10" s="146" customFormat="1" x14ac:dyDescent="0.2">
      <c r="A204" s="488"/>
      <c r="B204" s="489"/>
      <c r="C204" s="489"/>
      <c r="D204" s="489"/>
      <c r="E204" s="489"/>
      <c r="F204" s="489"/>
      <c r="G204" s="489"/>
      <c r="H204" s="489"/>
      <c r="I204" s="489"/>
      <c r="J204" s="490"/>
    </row>
    <row r="205" spans="1:10" s="146" customFormat="1" x14ac:dyDescent="0.2">
      <c r="A205" s="488"/>
      <c r="B205" s="489"/>
      <c r="C205" s="489"/>
      <c r="D205" s="489"/>
      <c r="E205" s="489"/>
      <c r="F205" s="489"/>
      <c r="G205" s="489"/>
      <c r="H205" s="489"/>
      <c r="I205" s="489"/>
      <c r="J205" s="490"/>
    </row>
    <row r="206" spans="1:10" s="146" customFormat="1" x14ac:dyDescent="0.2">
      <c r="A206" s="488"/>
      <c r="B206" s="489"/>
      <c r="C206" s="489"/>
      <c r="D206" s="489"/>
      <c r="E206" s="489"/>
      <c r="F206" s="489"/>
      <c r="G206" s="489"/>
      <c r="H206" s="489"/>
      <c r="I206" s="489"/>
      <c r="J206" s="490"/>
    </row>
    <row r="207" spans="1:10" s="146" customFormat="1" x14ac:dyDescent="0.2">
      <c r="A207" s="488"/>
      <c r="B207" s="489"/>
      <c r="C207" s="489"/>
      <c r="D207" s="489"/>
      <c r="E207" s="489"/>
      <c r="F207" s="489"/>
      <c r="G207" s="489"/>
      <c r="H207" s="489"/>
      <c r="I207" s="489"/>
      <c r="J207" s="490"/>
    </row>
    <row r="208" spans="1:10" s="146" customFormat="1" x14ac:dyDescent="0.2">
      <c r="A208" s="488"/>
      <c r="B208" s="489"/>
      <c r="C208" s="489"/>
      <c r="D208" s="489"/>
      <c r="E208" s="489"/>
      <c r="F208" s="489"/>
      <c r="G208" s="489"/>
      <c r="H208" s="489"/>
      <c r="I208" s="489"/>
      <c r="J208" s="490"/>
    </row>
    <row r="209" spans="1:10" s="146" customFormat="1" x14ac:dyDescent="0.2">
      <c r="A209" s="164"/>
      <c r="B209" s="163"/>
      <c r="C209" s="160"/>
      <c r="D209" s="162"/>
      <c r="E209" s="162"/>
      <c r="F209" s="162"/>
      <c r="G209" s="162"/>
      <c r="H209" s="161"/>
      <c r="I209" s="160"/>
      <c r="J209" s="159"/>
    </row>
    <row r="210" spans="1:10" ht="12.75" customHeight="1" x14ac:dyDescent="0.2">
      <c r="A210" s="473" t="s">
        <v>156</v>
      </c>
      <c r="B210" s="474"/>
      <c r="C210" s="474"/>
      <c r="D210" s="474"/>
      <c r="E210" s="474"/>
      <c r="F210" s="474"/>
      <c r="G210" s="474"/>
      <c r="H210" s="474"/>
      <c r="I210" s="474"/>
      <c r="J210" s="475"/>
    </row>
    <row r="211" spans="1:10" x14ac:dyDescent="0.2">
      <c r="A211" s="476"/>
      <c r="B211" s="477"/>
      <c r="C211" s="477"/>
      <c r="D211" s="477"/>
      <c r="E211" s="477"/>
      <c r="F211" s="477"/>
      <c r="G211" s="477"/>
      <c r="H211" s="477"/>
      <c r="I211" s="477"/>
      <c r="J211" s="478"/>
    </row>
    <row r="212" spans="1:10" ht="12.75" customHeight="1" x14ac:dyDescent="0.2">
      <c r="A212" s="479" t="s">
        <v>562</v>
      </c>
      <c r="B212" s="480"/>
      <c r="C212" s="480"/>
      <c r="D212" s="480"/>
      <c r="E212" s="480"/>
      <c r="F212" s="480"/>
      <c r="G212" s="480"/>
      <c r="H212" s="480"/>
      <c r="I212" s="480"/>
      <c r="J212" s="481"/>
    </row>
    <row r="213" spans="1:10" ht="12.75" customHeight="1" x14ac:dyDescent="0.2">
      <c r="A213" s="482"/>
      <c r="B213" s="483"/>
      <c r="C213" s="483"/>
      <c r="D213" s="483"/>
      <c r="E213" s="483"/>
      <c r="F213" s="483"/>
      <c r="G213" s="483"/>
      <c r="H213" s="483"/>
      <c r="I213" s="483"/>
      <c r="J213" s="484"/>
    </row>
    <row r="214" spans="1:10" ht="12.75" customHeight="1" x14ac:dyDescent="0.2">
      <c r="A214" s="482"/>
      <c r="B214" s="483"/>
      <c r="C214" s="483"/>
      <c r="D214" s="483"/>
      <c r="E214" s="483"/>
      <c r="F214" s="483"/>
      <c r="G214" s="483"/>
      <c r="H214" s="483"/>
      <c r="I214" s="483"/>
      <c r="J214" s="484"/>
    </row>
    <row r="215" spans="1:10" ht="15" customHeight="1" x14ac:dyDescent="0.2">
      <c r="A215" s="485"/>
      <c r="B215" s="486"/>
      <c r="C215" s="486"/>
      <c r="D215" s="486"/>
      <c r="E215" s="486"/>
      <c r="F215" s="486"/>
      <c r="G215" s="486"/>
      <c r="H215" s="486"/>
      <c r="I215" s="486"/>
      <c r="J215" s="487"/>
    </row>
    <row r="216" spans="1:10" s="146" customFormat="1" ht="12.75" customHeight="1" x14ac:dyDescent="0.2">
      <c r="A216" s="348" t="s">
        <v>157</v>
      </c>
      <c r="B216" s="349"/>
      <c r="C216" s="349"/>
      <c r="D216" s="349"/>
      <c r="E216" s="349"/>
      <c r="F216" s="366"/>
      <c r="G216" s="366"/>
      <c r="H216" s="366"/>
      <c r="I216" s="366"/>
      <c r="J216" s="367"/>
    </row>
    <row r="217" spans="1:10" ht="12.75" customHeight="1" x14ac:dyDescent="0.2">
      <c r="A217" s="479" t="s">
        <v>344</v>
      </c>
      <c r="B217" s="480"/>
      <c r="C217" s="480"/>
      <c r="D217" s="480"/>
      <c r="E217" s="480"/>
      <c r="F217" s="480"/>
      <c r="G217" s="480"/>
      <c r="H217" s="480"/>
      <c r="I217" s="480"/>
      <c r="J217" s="481"/>
    </row>
    <row r="218" spans="1:10" ht="12.75" customHeight="1" x14ac:dyDescent="0.2">
      <c r="A218" s="482"/>
      <c r="B218" s="483"/>
      <c r="C218" s="483"/>
      <c r="D218" s="483"/>
      <c r="E218" s="483"/>
      <c r="F218" s="483"/>
      <c r="G218" s="483"/>
      <c r="H218" s="483"/>
      <c r="I218" s="483"/>
      <c r="J218" s="484"/>
    </row>
    <row r="219" spans="1:10" ht="12.75" customHeight="1" x14ac:dyDescent="0.2">
      <c r="A219" s="482"/>
      <c r="B219" s="483"/>
      <c r="C219" s="483"/>
      <c r="D219" s="483"/>
      <c r="E219" s="483"/>
      <c r="F219" s="483"/>
      <c r="G219" s="483"/>
      <c r="H219" s="483"/>
      <c r="I219" s="483"/>
      <c r="J219" s="484"/>
    </row>
    <row r="220" spans="1:10" ht="15" customHeight="1" x14ac:dyDescent="0.2">
      <c r="A220" s="485"/>
      <c r="B220" s="486"/>
      <c r="C220" s="486"/>
      <c r="D220" s="486"/>
      <c r="E220" s="486"/>
      <c r="F220" s="486"/>
      <c r="G220" s="486"/>
      <c r="H220" s="486"/>
      <c r="I220" s="486"/>
      <c r="J220" s="487"/>
    </row>
    <row r="221" spans="1:10" s="146" customFormat="1" ht="12.75" customHeight="1" x14ac:dyDescent="0.2">
      <c r="A221" s="488"/>
      <c r="B221" s="489"/>
      <c r="C221" s="489"/>
      <c r="D221" s="489"/>
      <c r="E221" s="489"/>
      <c r="F221" s="489"/>
      <c r="G221" s="489"/>
      <c r="H221" s="489"/>
      <c r="I221" s="489"/>
      <c r="J221" s="490"/>
    </row>
    <row r="222" spans="1:10" s="146" customFormat="1" x14ac:dyDescent="0.2">
      <c r="A222" s="488"/>
      <c r="B222" s="489"/>
      <c r="C222" s="489"/>
      <c r="D222" s="489"/>
      <c r="E222" s="489"/>
      <c r="F222" s="489"/>
      <c r="G222" s="489"/>
      <c r="H222" s="489"/>
      <c r="I222" s="489"/>
      <c r="J222" s="490"/>
    </row>
    <row r="223" spans="1:10" s="146" customFormat="1" x14ac:dyDescent="0.2">
      <c r="A223" s="488"/>
      <c r="B223" s="489"/>
      <c r="C223" s="489"/>
      <c r="D223" s="489"/>
      <c r="E223" s="489"/>
      <c r="F223" s="489"/>
      <c r="G223" s="489"/>
      <c r="H223" s="489"/>
      <c r="I223" s="489"/>
      <c r="J223" s="490"/>
    </row>
    <row r="224" spans="1:10" s="146" customFormat="1" x14ac:dyDescent="0.2">
      <c r="A224" s="488"/>
      <c r="B224" s="489"/>
      <c r="C224" s="489"/>
      <c r="D224" s="489"/>
      <c r="E224" s="489"/>
      <c r="F224" s="489"/>
      <c r="G224" s="489"/>
      <c r="H224" s="489"/>
      <c r="I224" s="489"/>
      <c r="J224" s="490"/>
    </row>
    <row r="225" spans="1:10" s="146" customFormat="1" x14ac:dyDescent="0.2">
      <c r="A225" s="488"/>
      <c r="B225" s="489"/>
      <c r="C225" s="489"/>
      <c r="D225" s="489"/>
      <c r="E225" s="489"/>
      <c r="F225" s="489"/>
      <c r="G225" s="489"/>
      <c r="H225" s="489"/>
      <c r="I225" s="489"/>
      <c r="J225" s="490"/>
    </row>
    <row r="226" spans="1:10" s="146" customFormat="1" x14ac:dyDescent="0.2">
      <c r="A226" s="488"/>
      <c r="B226" s="489"/>
      <c r="C226" s="489"/>
      <c r="D226" s="489"/>
      <c r="E226" s="489"/>
      <c r="F226" s="489"/>
      <c r="G226" s="489"/>
      <c r="H226" s="489"/>
      <c r="I226" s="489"/>
      <c r="J226" s="490"/>
    </row>
    <row r="227" spans="1:10" s="146" customFormat="1" x14ac:dyDescent="0.2">
      <c r="A227" s="488"/>
      <c r="B227" s="489"/>
      <c r="C227" s="489"/>
      <c r="D227" s="489"/>
      <c r="E227" s="489"/>
      <c r="F227" s="489"/>
      <c r="G227" s="489"/>
      <c r="H227" s="489"/>
      <c r="I227" s="489"/>
      <c r="J227" s="490"/>
    </row>
    <row r="228" spans="1:10" s="146" customFormat="1" x14ac:dyDescent="0.2">
      <c r="A228" s="488"/>
      <c r="B228" s="489"/>
      <c r="C228" s="489"/>
      <c r="D228" s="489"/>
      <c r="E228" s="489"/>
      <c r="F228" s="489"/>
      <c r="G228" s="489"/>
      <c r="H228" s="489"/>
      <c r="I228" s="489"/>
      <c r="J228" s="490"/>
    </row>
    <row r="229" spans="1:10" s="146" customFormat="1" x14ac:dyDescent="0.2">
      <c r="A229" s="488"/>
      <c r="B229" s="489"/>
      <c r="C229" s="489"/>
      <c r="D229" s="489"/>
      <c r="E229" s="489"/>
      <c r="F229" s="489"/>
      <c r="G229" s="489"/>
      <c r="H229" s="489"/>
      <c r="I229" s="489"/>
      <c r="J229" s="490"/>
    </row>
    <row r="230" spans="1:10" s="146" customFormat="1" x14ac:dyDescent="0.2">
      <c r="A230" s="488"/>
      <c r="B230" s="489"/>
      <c r="C230" s="489"/>
      <c r="D230" s="489"/>
      <c r="E230" s="489"/>
      <c r="F230" s="489"/>
      <c r="G230" s="489"/>
      <c r="H230" s="489"/>
      <c r="I230" s="489"/>
      <c r="J230" s="490"/>
    </row>
    <row r="231" spans="1:10" s="146" customFormat="1" x14ac:dyDescent="0.2">
      <c r="A231" s="488"/>
      <c r="B231" s="489"/>
      <c r="C231" s="489"/>
      <c r="D231" s="489"/>
      <c r="E231" s="489"/>
      <c r="F231" s="489"/>
      <c r="G231" s="489"/>
      <c r="H231" s="489"/>
      <c r="I231" s="489"/>
      <c r="J231" s="490"/>
    </row>
    <row r="232" spans="1:10" s="146" customFormat="1" x14ac:dyDescent="0.2">
      <c r="A232" s="488"/>
      <c r="B232" s="489"/>
      <c r="C232" s="489"/>
      <c r="D232" s="489"/>
      <c r="E232" s="489"/>
      <c r="F232" s="489"/>
      <c r="G232" s="489"/>
      <c r="H232" s="489"/>
      <c r="I232" s="489"/>
      <c r="J232" s="490"/>
    </row>
    <row r="233" spans="1:10" s="146" customFormat="1" x14ac:dyDescent="0.2">
      <c r="A233" s="488"/>
      <c r="B233" s="489"/>
      <c r="C233" s="489"/>
      <c r="D233" s="489"/>
      <c r="E233" s="489"/>
      <c r="F233" s="489"/>
      <c r="G233" s="489"/>
      <c r="H233" s="489"/>
      <c r="I233" s="489"/>
      <c r="J233" s="490"/>
    </row>
    <row r="234" spans="1:10" s="146" customFormat="1" x14ac:dyDescent="0.2">
      <c r="A234" s="488"/>
      <c r="B234" s="489"/>
      <c r="C234" s="489"/>
      <c r="D234" s="489"/>
      <c r="E234" s="489"/>
      <c r="F234" s="489"/>
      <c r="G234" s="489"/>
      <c r="H234" s="489"/>
      <c r="I234" s="489"/>
      <c r="J234" s="490"/>
    </row>
    <row r="235" spans="1:10" s="146" customFormat="1" x14ac:dyDescent="0.2">
      <c r="A235" s="488"/>
      <c r="B235" s="489"/>
      <c r="C235" s="489"/>
      <c r="D235" s="489"/>
      <c r="E235" s="489"/>
      <c r="F235" s="489"/>
      <c r="G235" s="489"/>
      <c r="H235" s="489"/>
      <c r="I235" s="489"/>
      <c r="J235" s="490"/>
    </row>
    <row r="236" spans="1:10" s="146" customFormat="1" x14ac:dyDescent="0.2">
      <c r="A236" s="488"/>
      <c r="B236" s="489"/>
      <c r="C236" s="489"/>
      <c r="D236" s="489"/>
      <c r="E236" s="489"/>
      <c r="F236" s="489"/>
      <c r="G236" s="489"/>
      <c r="H236" s="489"/>
      <c r="I236" s="489"/>
      <c r="J236" s="490"/>
    </row>
    <row r="237" spans="1:10" s="146" customFormat="1" x14ac:dyDescent="0.2">
      <c r="A237" s="488"/>
      <c r="B237" s="489"/>
      <c r="C237" s="489"/>
      <c r="D237" s="489"/>
      <c r="E237" s="489"/>
      <c r="F237" s="489"/>
      <c r="G237" s="489"/>
      <c r="H237" s="489"/>
      <c r="I237" s="489"/>
      <c r="J237" s="490"/>
    </row>
    <row r="238" spans="1:10" s="146" customFormat="1" x14ac:dyDescent="0.2">
      <c r="A238" s="488"/>
      <c r="B238" s="489"/>
      <c r="C238" s="489"/>
      <c r="D238" s="489"/>
      <c r="E238" s="489"/>
      <c r="F238" s="489"/>
      <c r="G238" s="489"/>
      <c r="H238" s="489"/>
      <c r="I238" s="489"/>
      <c r="J238" s="490"/>
    </row>
    <row r="239" spans="1:10" s="146" customFormat="1" x14ac:dyDescent="0.2">
      <c r="A239" s="488"/>
      <c r="B239" s="489"/>
      <c r="C239" s="489"/>
      <c r="D239" s="489"/>
      <c r="E239" s="489"/>
      <c r="F239" s="489"/>
      <c r="G239" s="489"/>
      <c r="H239" s="489"/>
      <c r="I239" s="489"/>
      <c r="J239" s="490"/>
    </row>
    <row r="240" spans="1:10" s="146" customFormat="1" x14ac:dyDescent="0.2">
      <c r="A240" s="488"/>
      <c r="B240" s="489"/>
      <c r="C240" s="489"/>
      <c r="D240" s="489"/>
      <c r="E240" s="489"/>
      <c r="F240" s="489"/>
      <c r="G240" s="489"/>
      <c r="H240" s="489"/>
      <c r="I240" s="489"/>
      <c r="J240" s="490"/>
    </row>
    <row r="241" spans="1:10" s="146" customFormat="1" x14ac:dyDescent="0.2">
      <c r="A241" s="488"/>
      <c r="B241" s="489"/>
      <c r="C241" s="489"/>
      <c r="D241" s="489"/>
      <c r="E241" s="489"/>
      <c r="F241" s="489"/>
      <c r="G241" s="489"/>
      <c r="H241" s="489"/>
      <c r="I241" s="489"/>
      <c r="J241" s="490"/>
    </row>
    <row r="242" spans="1:10" s="146" customFormat="1" x14ac:dyDescent="0.2">
      <c r="A242" s="488"/>
      <c r="B242" s="489"/>
      <c r="C242" s="489"/>
      <c r="D242" s="489"/>
      <c r="E242" s="489"/>
      <c r="F242" s="489"/>
      <c r="G242" s="489"/>
      <c r="H242" s="489"/>
      <c r="I242" s="489"/>
      <c r="J242" s="490"/>
    </row>
    <row r="243" spans="1:10" s="146" customFormat="1" x14ac:dyDescent="0.2">
      <c r="A243" s="488"/>
      <c r="B243" s="489"/>
      <c r="C243" s="489"/>
      <c r="D243" s="489"/>
      <c r="E243" s="489"/>
      <c r="F243" s="489"/>
      <c r="G243" s="489"/>
      <c r="H243" s="489"/>
      <c r="I243" s="489"/>
      <c r="J243" s="490"/>
    </row>
    <row r="244" spans="1:10" s="146" customFormat="1" x14ac:dyDescent="0.2">
      <c r="A244" s="488"/>
      <c r="B244" s="489"/>
      <c r="C244" s="489"/>
      <c r="D244" s="489"/>
      <c r="E244" s="489"/>
      <c r="F244" s="489"/>
      <c r="G244" s="489"/>
      <c r="H244" s="489"/>
      <c r="I244" s="489"/>
      <c r="J244" s="490"/>
    </row>
    <row r="245" spans="1:10" s="146" customFormat="1" x14ac:dyDescent="0.2">
      <c r="A245" s="488"/>
      <c r="B245" s="489"/>
      <c r="C245" s="489"/>
      <c r="D245" s="489"/>
      <c r="E245" s="489"/>
      <c r="F245" s="489"/>
      <c r="G245" s="489"/>
      <c r="H245" s="489"/>
      <c r="I245" s="489"/>
      <c r="J245" s="490"/>
    </row>
    <row r="246" spans="1:10" s="146" customFormat="1" x14ac:dyDescent="0.2">
      <c r="A246" s="488"/>
      <c r="B246" s="489"/>
      <c r="C246" s="489"/>
      <c r="D246" s="489"/>
      <c r="E246" s="489"/>
      <c r="F246" s="489"/>
      <c r="G246" s="489"/>
      <c r="H246" s="489"/>
      <c r="I246" s="489"/>
      <c r="J246" s="490"/>
    </row>
    <row r="247" spans="1:10" s="146" customFormat="1" x14ac:dyDescent="0.2">
      <c r="A247" s="488"/>
      <c r="B247" s="489"/>
      <c r="C247" s="489"/>
      <c r="D247" s="489"/>
      <c r="E247" s="489"/>
      <c r="F247" s="489"/>
      <c r="G247" s="489"/>
      <c r="H247" s="489"/>
      <c r="I247" s="489"/>
      <c r="J247" s="490"/>
    </row>
    <row r="248" spans="1:10" s="146" customFormat="1" x14ac:dyDescent="0.2">
      <c r="A248" s="488"/>
      <c r="B248" s="489"/>
      <c r="C248" s="489"/>
      <c r="D248" s="489"/>
      <c r="E248" s="489"/>
      <c r="F248" s="489"/>
      <c r="G248" s="489"/>
      <c r="H248" s="489"/>
      <c r="I248" s="489"/>
      <c r="J248" s="490"/>
    </row>
    <row r="249" spans="1:10" s="146" customFormat="1" x14ac:dyDescent="0.2">
      <c r="A249" s="488"/>
      <c r="B249" s="489"/>
      <c r="C249" s="489"/>
      <c r="D249" s="489"/>
      <c r="E249" s="489"/>
      <c r="F249" s="489"/>
      <c r="G249" s="489"/>
      <c r="H249" s="489"/>
      <c r="I249" s="489"/>
      <c r="J249" s="490"/>
    </row>
    <row r="250" spans="1:10" s="146" customFormat="1" x14ac:dyDescent="0.2">
      <c r="A250" s="164"/>
      <c r="B250" s="163"/>
      <c r="C250" s="160"/>
      <c r="D250" s="162"/>
      <c r="E250" s="162"/>
      <c r="F250" s="162"/>
      <c r="G250" s="162"/>
      <c r="H250" s="161"/>
      <c r="I250" s="160"/>
      <c r="J250" s="159"/>
    </row>
    <row r="251" spans="1:10" s="146" customFormat="1" x14ac:dyDescent="0.2">
      <c r="A251" s="164"/>
      <c r="B251" s="163"/>
      <c r="C251" s="160"/>
      <c r="D251" s="162"/>
      <c r="E251" s="162"/>
      <c r="F251" s="162"/>
      <c r="G251" s="162"/>
      <c r="H251" s="161"/>
      <c r="I251" s="160"/>
      <c r="J251" s="159"/>
    </row>
    <row r="252" spans="1:10" ht="12.75" customHeight="1" x14ac:dyDescent="0.2">
      <c r="A252" s="473" t="s">
        <v>158</v>
      </c>
      <c r="B252" s="474"/>
      <c r="C252" s="474"/>
      <c r="D252" s="474"/>
      <c r="E252" s="474"/>
      <c r="F252" s="474"/>
      <c r="G252" s="474"/>
      <c r="H252" s="474"/>
      <c r="I252" s="474"/>
      <c r="J252" s="475"/>
    </row>
    <row r="253" spans="1:10" x14ac:dyDescent="0.2">
      <c r="A253" s="476"/>
      <c r="B253" s="477"/>
      <c r="C253" s="477"/>
      <c r="D253" s="477"/>
      <c r="E253" s="477"/>
      <c r="F253" s="477"/>
      <c r="G253" s="477"/>
      <c r="H253" s="477"/>
      <c r="I253" s="477"/>
      <c r="J253" s="478"/>
    </row>
    <row r="254" spans="1:10" ht="12.75" customHeight="1" x14ac:dyDescent="0.2">
      <c r="A254" s="479" t="s">
        <v>341</v>
      </c>
      <c r="B254" s="480"/>
      <c r="C254" s="480"/>
      <c r="D254" s="480"/>
      <c r="E254" s="480"/>
      <c r="F254" s="480"/>
      <c r="G254" s="480"/>
      <c r="H254" s="480"/>
      <c r="I254" s="480"/>
      <c r="J254" s="481"/>
    </row>
    <row r="255" spans="1:10" ht="12.75" customHeight="1" x14ac:dyDescent="0.2">
      <c r="A255" s="482"/>
      <c r="B255" s="483"/>
      <c r="C255" s="483"/>
      <c r="D255" s="483"/>
      <c r="E255" s="483"/>
      <c r="F255" s="483"/>
      <c r="G255" s="483"/>
      <c r="H255" s="483"/>
      <c r="I255" s="483"/>
      <c r="J255" s="484"/>
    </row>
    <row r="256" spans="1:10" ht="12.75" customHeight="1" x14ac:dyDescent="0.2">
      <c r="A256" s="482"/>
      <c r="B256" s="483"/>
      <c r="C256" s="483"/>
      <c r="D256" s="483"/>
      <c r="E256" s="483"/>
      <c r="F256" s="483"/>
      <c r="G256" s="483"/>
      <c r="H256" s="483"/>
      <c r="I256" s="483"/>
      <c r="J256" s="484"/>
    </row>
    <row r="257" spans="1:10" ht="15" customHeight="1" x14ac:dyDescent="0.2">
      <c r="A257" s="485"/>
      <c r="B257" s="486"/>
      <c r="C257" s="486"/>
      <c r="D257" s="486"/>
      <c r="E257" s="486"/>
      <c r="F257" s="486"/>
      <c r="G257" s="486"/>
      <c r="H257" s="486"/>
      <c r="I257" s="486"/>
      <c r="J257" s="487"/>
    </row>
    <row r="258" spans="1:10" s="146" customFormat="1" ht="12.75" customHeight="1" x14ac:dyDescent="0.2">
      <c r="A258" s="348" t="s">
        <v>159</v>
      </c>
      <c r="B258" s="349"/>
      <c r="C258" s="349"/>
      <c r="D258" s="349"/>
      <c r="E258" s="349"/>
      <c r="F258" s="366"/>
      <c r="G258" s="366"/>
      <c r="H258" s="366"/>
      <c r="I258" s="366"/>
      <c r="J258" s="367"/>
    </row>
    <row r="259" spans="1:10" ht="12.75" customHeight="1" x14ac:dyDescent="0.2">
      <c r="A259" s="479" t="s">
        <v>160</v>
      </c>
      <c r="B259" s="480"/>
      <c r="C259" s="480"/>
      <c r="D259" s="480"/>
      <c r="E259" s="480"/>
      <c r="F259" s="480"/>
      <c r="G259" s="480"/>
      <c r="H259" s="480"/>
      <c r="I259" s="480"/>
      <c r="J259" s="481"/>
    </row>
    <row r="260" spans="1:10" ht="12.75" customHeight="1" x14ac:dyDescent="0.2">
      <c r="A260" s="482"/>
      <c r="B260" s="483"/>
      <c r="C260" s="483"/>
      <c r="D260" s="483"/>
      <c r="E260" s="483"/>
      <c r="F260" s="483"/>
      <c r="G260" s="483"/>
      <c r="H260" s="483"/>
      <c r="I260" s="483"/>
      <c r="J260" s="484"/>
    </row>
    <row r="261" spans="1:10" ht="12.75" customHeight="1" x14ac:dyDescent="0.2">
      <c r="A261" s="482"/>
      <c r="B261" s="483"/>
      <c r="C261" s="483"/>
      <c r="D261" s="483"/>
      <c r="E261" s="483"/>
      <c r="F261" s="483"/>
      <c r="G261" s="483"/>
      <c r="H261" s="483"/>
      <c r="I261" s="483"/>
      <c r="J261" s="484"/>
    </row>
    <row r="262" spans="1:10" ht="15" customHeight="1" x14ac:dyDescent="0.2">
      <c r="A262" s="485"/>
      <c r="B262" s="486"/>
      <c r="C262" s="486"/>
      <c r="D262" s="486"/>
      <c r="E262" s="486"/>
      <c r="F262" s="486"/>
      <c r="G262" s="486"/>
      <c r="H262" s="486"/>
      <c r="I262" s="486"/>
      <c r="J262" s="487"/>
    </row>
    <row r="263" spans="1:10" s="146" customFormat="1" ht="12.75" customHeight="1" x14ac:dyDescent="0.2">
      <c r="A263" s="488"/>
      <c r="B263" s="489"/>
      <c r="C263" s="489"/>
      <c r="D263" s="489"/>
      <c r="E263" s="489"/>
      <c r="F263" s="489"/>
      <c r="G263" s="489"/>
      <c r="H263" s="489"/>
      <c r="I263" s="489"/>
      <c r="J263" s="490"/>
    </row>
    <row r="264" spans="1:10" s="146" customFormat="1" x14ac:dyDescent="0.2">
      <c r="A264" s="488"/>
      <c r="B264" s="489"/>
      <c r="C264" s="489"/>
      <c r="D264" s="489"/>
      <c r="E264" s="489"/>
      <c r="F264" s="489"/>
      <c r="G264" s="489"/>
      <c r="H264" s="489"/>
      <c r="I264" s="489"/>
      <c r="J264" s="490"/>
    </row>
    <row r="265" spans="1:10" s="146" customFormat="1" x14ac:dyDescent="0.2">
      <c r="A265" s="488"/>
      <c r="B265" s="489"/>
      <c r="C265" s="489"/>
      <c r="D265" s="489"/>
      <c r="E265" s="489"/>
      <c r="F265" s="489"/>
      <c r="G265" s="489"/>
      <c r="H265" s="489"/>
      <c r="I265" s="489"/>
      <c r="J265" s="490"/>
    </row>
    <row r="266" spans="1:10" s="146" customFormat="1" x14ac:dyDescent="0.2">
      <c r="A266" s="488"/>
      <c r="B266" s="489"/>
      <c r="C266" s="489"/>
      <c r="D266" s="489"/>
      <c r="E266" s="489"/>
      <c r="F266" s="489"/>
      <c r="G266" s="489"/>
      <c r="H266" s="489"/>
      <c r="I266" s="489"/>
      <c r="J266" s="490"/>
    </row>
    <row r="267" spans="1:10" s="146" customFormat="1" x14ac:dyDescent="0.2">
      <c r="A267" s="488"/>
      <c r="B267" s="489"/>
      <c r="C267" s="489"/>
      <c r="D267" s="489"/>
      <c r="E267" s="489"/>
      <c r="F267" s="489"/>
      <c r="G267" s="489"/>
      <c r="H267" s="489"/>
      <c r="I267" s="489"/>
      <c r="J267" s="490"/>
    </row>
    <row r="268" spans="1:10" s="146" customFormat="1" x14ac:dyDescent="0.2">
      <c r="A268" s="488"/>
      <c r="B268" s="489"/>
      <c r="C268" s="489"/>
      <c r="D268" s="489"/>
      <c r="E268" s="489"/>
      <c r="F268" s="489"/>
      <c r="G268" s="489"/>
      <c r="H268" s="489"/>
      <c r="I268" s="489"/>
      <c r="J268" s="490"/>
    </row>
    <row r="269" spans="1:10" s="146" customFormat="1" x14ac:dyDescent="0.2">
      <c r="A269" s="488"/>
      <c r="B269" s="489"/>
      <c r="C269" s="489"/>
      <c r="D269" s="489"/>
      <c r="E269" s="489"/>
      <c r="F269" s="489"/>
      <c r="G269" s="489"/>
      <c r="H269" s="489"/>
      <c r="I269" s="489"/>
      <c r="J269" s="490"/>
    </row>
    <row r="270" spans="1:10" s="146" customFormat="1" x14ac:dyDescent="0.2">
      <c r="A270" s="488"/>
      <c r="B270" s="489"/>
      <c r="C270" s="489"/>
      <c r="D270" s="489"/>
      <c r="E270" s="489"/>
      <c r="F270" s="489"/>
      <c r="G270" s="489"/>
      <c r="H270" s="489"/>
      <c r="I270" s="489"/>
      <c r="J270" s="490"/>
    </row>
    <row r="271" spans="1:10" s="146" customFormat="1" x14ac:dyDescent="0.2">
      <c r="A271" s="488"/>
      <c r="B271" s="489"/>
      <c r="C271" s="489"/>
      <c r="D271" s="489"/>
      <c r="E271" s="489"/>
      <c r="F271" s="489"/>
      <c r="G271" s="489"/>
      <c r="H271" s="489"/>
      <c r="I271" s="489"/>
      <c r="J271" s="490"/>
    </row>
    <row r="272" spans="1:10" s="146" customFormat="1" x14ac:dyDescent="0.2">
      <c r="A272" s="488"/>
      <c r="B272" s="489"/>
      <c r="C272" s="489"/>
      <c r="D272" s="489"/>
      <c r="E272" s="489"/>
      <c r="F272" s="489"/>
      <c r="G272" s="489"/>
      <c r="H272" s="489"/>
      <c r="I272" s="489"/>
      <c r="J272" s="490"/>
    </row>
    <row r="273" spans="1:10" s="146" customFormat="1" x14ac:dyDescent="0.2">
      <c r="A273" s="488"/>
      <c r="B273" s="489"/>
      <c r="C273" s="489"/>
      <c r="D273" s="489"/>
      <c r="E273" s="489"/>
      <c r="F273" s="489"/>
      <c r="G273" s="489"/>
      <c r="H273" s="489"/>
      <c r="I273" s="489"/>
      <c r="J273" s="490"/>
    </row>
    <row r="274" spans="1:10" ht="12.75" customHeight="1" x14ac:dyDescent="0.2">
      <c r="A274" s="479" t="s">
        <v>345</v>
      </c>
      <c r="B274" s="480"/>
      <c r="C274" s="480"/>
      <c r="D274" s="480"/>
      <c r="E274" s="480"/>
      <c r="F274" s="480"/>
      <c r="G274" s="480"/>
      <c r="H274" s="480"/>
      <c r="I274" s="480"/>
      <c r="J274" s="481"/>
    </row>
    <row r="275" spans="1:10" ht="12.75" customHeight="1" x14ac:dyDescent="0.2">
      <c r="A275" s="482"/>
      <c r="B275" s="483"/>
      <c r="C275" s="483"/>
      <c r="D275" s="483"/>
      <c r="E275" s="483"/>
      <c r="F275" s="483"/>
      <c r="G275" s="483"/>
      <c r="H275" s="483"/>
      <c r="I275" s="483"/>
      <c r="J275" s="484"/>
    </row>
    <row r="276" spans="1:10" ht="12.75" customHeight="1" x14ac:dyDescent="0.2">
      <c r="A276" s="482"/>
      <c r="B276" s="483"/>
      <c r="C276" s="483"/>
      <c r="D276" s="483"/>
      <c r="E276" s="483"/>
      <c r="F276" s="483"/>
      <c r="G276" s="483"/>
      <c r="H276" s="483"/>
      <c r="I276" s="483"/>
      <c r="J276" s="484"/>
    </row>
    <row r="277" spans="1:10" ht="15" customHeight="1" x14ac:dyDescent="0.2">
      <c r="A277" s="485"/>
      <c r="B277" s="486"/>
      <c r="C277" s="486"/>
      <c r="D277" s="486"/>
      <c r="E277" s="486"/>
      <c r="F277" s="486"/>
      <c r="G277" s="486"/>
      <c r="H277" s="486"/>
      <c r="I277" s="486"/>
      <c r="J277" s="487"/>
    </row>
    <row r="278" spans="1:10" s="146" customFormat="1" ht="12.75" customHeight="1" x14ac:dyDescent="0.2">
      <c r="A278" s="488"/>
      <c r="B278" s="489"/>
      <c r="C278" s="489"/>
      <c r="D278" s="489"/>
      <c r="E278" s="489"/>
      <c r="F278" s="489"/>
      <c r="G278" s="489"/>
      <c r="H278" s="489"/>
      <c r="I278" s="489"/>
      <c r="J278" s="490"/>
    </row>
    <row r="279" spans="1:10" s="146" customFormat="1" x14ac:dyDescent="0.2">
      <c r="A279" s="488"/>
      <c r="B279" s="489"/>
      <c r="C279" s="489"/>
      <c r="D279" s="489"/>
      <c r="E279" s="489"/>
      <c r="F279" s="489"/>
      <c r="G279" s="489"/>
      <c r="H279" s="489"/>
      <c r="I279" s="489"/>
      <c r="J279" s="490"/>
    </row>
    <row r="280" spans="1:10" s="146" customFormat="1" x14ac:dyDescent="0.2">
      <c r="A280" s="488"/>
      <c r="B280" s="489"/>
      <c r="C280" s="489"/>
      <c r="D280" s="489"/>
      <c r="E280" s="489"/>
      <c r="F280" s="489"/>
      <c r="G280" s="489"/>
      <c r="H280" s="489"/>
      <c r="I280" s="489"/>
      <c r="J280" s="490"/>
    </row>
    <row r="281" spans="1:10" s="146" customFormat="1" x14ac:dyDescent="0.2">
      <c r="A281" s="488"/>
      <c r="B281" s="489"/>
      <c r="C281" s="489"/>
      <c r="D281" s="489"/>
      <c r="E281" s="489"/>
      <c r="F281" s="489"/>
      <c r="G281" s="489"/>
      <c r="H281" s="489"/>
      <c r="I281" s="489"/>
      <c r="J281" s="490"/>
    </row>
    <row r="282" spans="1:10" s="146" customFormat="1" x14ac:dyDescent="0.2">
      <c r="A282" s="488"/>
      <c r="B282" s="489"/>
      <c r="C282" s="489"/>
      <c r="D282" s="489"/>
      <c r="E282" s="489"/>
      <c r="F282" s="489"/>
      <c r="G282" s="489"/>
      <c r="H282" s="489"/>
      <c r="I282" s="489"/>
      <c r="J282" s="490"/>
    </row>
    <row r="283" spans="1:10" s="146" customFormat="1" x14ac:dyDescent="0.2">
      <c r="A283" s="488"/>
      <c r="B283" s="489"/>
      <c r="C283" s="489"/>
      <c r="D283" s="489"/>
      <c r="E283" s="489"/>
      <c r="F283" s="489"/>
      <c r="G283" s="489"/>
      <c r="H283" s="489"/>
      <c r="I283" s="489"/>
      <c r="J283" s="490"/>
    </row>
    <row r="284" spans="1:10" s="146" customFormat="1" x14ac:dyDescent="0.2">
      <c r="A284" s="488"/>
      <c r="B284" s="489"/>
      <c r="C284" s="489"/>
      <c r="D284" s="489"/>
      <c r="E284" s="489"/>
      <c r="F284" s="489"/>
      <c r="G284" s="489"/>
      <c r="H284" s="489"/>
      <c r="I284" s="489"/>
      <c r="J284" s="490"/>
    </row>
    <row r="285" spans="1:10" s="146" customFormat="1" x14ac:dyDescent="0.2">
      <c r="A285" s="488"/>
      <c r="B285" s="489"/>
      <c r="C285" s="489"/>
      <c r="D285" s="489"/>
      <c r="E285" s="489"/>
      <c r="F285" s="489"/>
      <c r="G285" s="489"/>
      <c r="H285" s="489"/>
      <c r="I285" s="489"/>
      <c r="J285" s="490"/>
    </row>
    <row r="286" spans="1:10" s="146" customFormat="1" x14ac:dyDescent="0.2">
      <c r="A286" s="488"/>
      <c r="B286" s="489"/>
      <c r="C286" s="489"/>
      <c r="D286" s="489"/>
      <c r="E286" s="489"/>
      <c r="F286" s="489"/>
      <c r="G286" s="489"/>
      <c r="H286" s="489"/>
      <c r="I286" s="489"/>
      <c r="J286" s="490"/>
    </row>
    <row r="287" spans="1:10" s="146" customFormat="1" x14ac:dyDescent="0.2">
      <c r="A287" s="488"/>
      <c r="B287" s="489"/>
      <c r="C287" s="489"/>
      <c r="D287" s="489"/>
      <c r="E287" s="489"/>
      <c r="F287" s="489"/>
      <c r="G287" s="489"/>
      <c r="H287" s="489"/>
      <c r="I287" s="489"/>
      <c r="J287" s="490"/>
    </row>
    <row r="288" spans="1:10" s="146" customFormat="1" x14ac:dyDescent="0.2">
      <c r="A288" s="488"/>
      <c r="B288" s="489"/>
      <c r="C288" s="489"/>
      <c r="D288" s="489"/>
      <c r="E288" s="489"/>
      <c r="F288" s="489"/>
      <c r="G288" s="489"/>
      <c r="H288" s="489"/>
      <c r="I288" s="489"/>
      <c r="J288" s="490"/>
    </row>
    <row r="289" spans="1:10" s="146" customFormat="1" x14ac:dyDescent="0.2">
      <c r="A289" s="488"/>
      <c r="B289" s="489"/>
      <c r="C289" s="489"/>
      <c r="D289" s="489"/>
      <c r="E289" s="489"/>
      <c r="F289" s="489"/>
      <c r="G289" s="489"/>
      <c r="H289" s="489"/>
      <c r="I289" s="489"/>
      <c r="J289" s="490"/>
    </row>
    <row r="290" spans="1:10" s="146" customFormat="1" ht="13.5" thickBot="1" x14ac:dyDescent="0.25">
      <c r="A290" s="524"/>
      <c r="B290" s="525"/>
      <c r="C290" s="525"/>
      <c r="D290" s="525"/>
      <c r="E290" s="525"/>
      <c r="F290" s="525"/>
      <c r="G290" s="525"/>
      <c r="H290" s="525"/>
      <c r="I290" s="525"/>
      <c r="J290" s="526"/>
    </row>
    <row r="291" spans="1:10" s="146" customFormat="1" ht="25.5" customHeight="1" thickTop="1" x14ac:dyDescent="0.2">
      <c r="A291" s="527" t="s">
        <v>161</v>
      </c>
      <c r="B291" s="528"/>
      <c r="C291" s="528"/>
      <c r="D291" s="528"/>
      <c r="E291" s="528"/>
      <c r="F291" s="531">
        <f>SUM(F258,F216,F175,F133,F91,F49,F13)</f>
        <v>0</v>
      </c>
      <c r="G291" s="531"/>
      <c r="H291" s="531"/>
      <c r="I291" s="531"/>
      <c r="J291" s="532"/>
    </row>
    <row r="292" spans="1:10" ht="13.5" thickBot="1" x14ac:dyDescent="0.25">
      <c r="A292" s="529"/>
      <c r="B292" s="530"/>
      <c r="C292" s="530"/>
      <c r="D292" s="530"/>
      <c r="E292" s="530"/>
      <c r="F292" s="533"/>
      <c r="G292" s="533"/>
      <c r="H292" s="533"/>
      <c r="I292" s="533"/>
      <c r="J292" s="534"/>
    </row>
    <row r="293" spans="1:10" ht="13.5" thickTop="1" x14ac:dyDescent="0.2"/>
  </sheetData>
  <sheetProtection password="E686" sheet="1" objects="1" scenarios="1" formatRows="0"/>
  <mergeCells count="50">
    <mergeCell ref="A1:J2"/>
    <mergeCell ref="A3:J5"/>
    <mergeCell ref="A278:J290"/>
    <mergeCell ref="A291:E292"/>
    <mergeCell ref="F291:J292"/>
    <mergeCell ref="A176:J179"/>
    <mergeCell ref="A180:J208"/>
    <mergeCell ref="A210:J211"/>
    <mergeCell ref="A274:J277"/>
    <mergeCell ref="A129:J132"/>
    <mergeCell ref="A259:J262"/>
    <mergeCell ref="A263:J273"/>
    <mergeCell ref="A9:J12"/>
    <mergeCell ref="A169:J170"/>
    <mergeCell ref="A171:J174"/>
    <mergeCell ref="A175:E175"/>
    <mergeCell ref="A92:J95"/>
    <mergeCell ref="A54:J83"/>
    <mergeCell ref="A133:E133"/>
    <mergeCell ref="F133:J133"/>
    <mergeCell ref="A134:J137"/>
    <mergeCell ref="A96:J125"/>
    <mergeCell ref="A258:E258"/>
    <mergeCell ref="F258:J258"/>
    <mergeCell ref="A254:J257"/>
    <mergeCell ref="A127:J128"/>
    <mergeCell ref="A252:J253"/>
    <mergeCell ref="F216:J216"/>
    <mergeCell ref="A212:J215"/>
    <mergeCell ref="A221:J249"/>
    <mergeCell ref="A217:J220"/>
    <mergeCell ref="A216:E216"/>
    <mergeCell ref="A151:J154"/>
    <mergeCell ref="A155:J167"/>
    <mergeCell ref="F175:J175"/>
    <mergeCell ref="A138:J150"/>
    <mergeCell ref="F49:J49"/>
    <mergeCell ref="A50:J53"/>
    <mergeCell ref="F91:J91"/>
    <mergeCell ref="A43:J44"/>
    <mergeCell ref="A45:J48"/>
    <mergeCell ref="A85:J86"/>
    <mergeCell ref="A87:J90"/>
    <mergeCell ref="A91:E91"/>
    <mergeCell ref="A49:E49"/>
    <mergeCell ref="A7:J8"/>
    <mergeCell ref="A14:J18"/>
    <mergeCell ref="A19:J41"/>
    <mergeCell ref="A13:E13"/>
    <mergeCell ref="F13:J13"/>
  </mergeCells>
  <pageMargins left="0.75" right="0.75" top="1" bottom="1" header="0.5" footer="0.5"/>
  <pageSetup scale="83" fitToWidth="0" fitToHeight="0" orientation="landscape" r:id="rId1"/>
  <headerFooter alignWithMargins="0">
    <oddHeader>&amp;LFFY 2010 Consolidated Application&amp;C&amp;A&amp;R&amp;P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pageSetUpPr fitToPage="1"/>
  </sheetPr>
  <dimension ref="A1:J23"/>
  <sheetViews>
    <sheetView topLeftCell="E1" zoomScaleNormal="100" workbookViewId="0">
      <selection activeCell="I27" sqref="I27"/>
    </sheetView>
  </sheetViews>
  <sheetFormatPr defaultColWidth="9.140625" defaultRowHeight="12.75" x14ac:dyDescent="0.2"/>
  <cols>
    <col min="1" max="10" width="15.7109375" style="1" customWidth="1"/>
    <col min="11" max="12" width="0" style="1" hidden="1" customWidth="1"/>
    <col min="13" max="16384" width="9.140625" style="1"/>
  </cols>
  <sheetData>
    <row r="1" spans="1:10" ht="13.5" thickTop="1" x14ac:dyDescent="0.2">
      <c r="A1" s="416" t="s">
        <v>162</v>
      </c>
      <c r="B1" s="417"/>
      <c r="C1" s="417"/>
      <c r="D1" s="417"/>
      <c r="E1" s="417"/>
      <c r="F1" s="417"/>
      <c r="G1" s="417"/>
      <c r="H1" s="417"/>
      <c r="I1" s="417"/>
      <c r="J1" s="418"/>
    </row>
    <row r="2" spans="1:10" x14ac:dyDescent="0.2">
      <c r="A2" s="419"/>
      <c r="B2" s="420"/>
      <c r="C2" s="420"/>
      <c r="D2" s="420"/>
      <c r="E2" s="420"/>
      <c r="F2" s="420"/>
      <c r="G2" s="420"/>
      <c r="H2" s="420"/>
      <c r="I2" s="420"/>
      <c r="J2" s="421"/>
    </row>
    <row r="3" spans="1:10" x14ac:dyDescent="0.2">
      <c r="A3" s="543" t="s">
        <v>208</v>
      </c>
      <c r="B3" s="544"/>
      <c r="C3" s="544"/>
      <c r="D3" s="544"/>
      <c r="E3" s="544"/>
      <c r="F3" s="544"/>
      <c r="G3" s="544"/>
      <c r="H3" s="544"/>
      <c r="I3" s="544"/>
      <c r="J3" s="545"/>
    </row>
    <row r="4" spans="1:10" x14ac:dyDescent="0.2">
      <c r="A4" s="546"/>
      <c r="B4" s="547"/>
      <c r="C4" s="547"/>
      <c r="D4" s="547"/>
      <c r="E4" s="547"/>
      <c r="F4" s="547"/>
      <c r="G4" s="547"/>
      <c r="H4" s="547"/>
      <c r="I4" s="547"/>
      <c r="J4" s="548"/>
    </row>
    <row r="5" spans="1:10" s="2" customFormat="1" ht="12.6" customHeight="1" x14ac:dyDescent="0.2">
      <c r="A5" s="559" t="s">
        <v>349</v>
      </c>
      <c r="B5" s="560"/>
      <c r="C5" s="560"/>
      <c r="D5" s="560"/>
      <c r="E5" s="560"/>
      <c r="F5" s="560"/>
      <c r="G5" s="560"/>
      <c r="H5" s="560"/>
      <c r="I5" s="560"/>
      <c r="J5" s="561"/>
    </row>
    <row r="6" spans="1:10" s="2" customFormat="1" ht="12.6" customHeight="1" x14ac:dyDescent="0.2">
      <c r="A6" s="553"/>
      <c r="B6" s="554"/>
      <c r="C6" s="554"/>
      <c r="D6" s="554"/>
      <c r="E6" s="554"/>
      <c r="F6" s="554"/>
      <c r="G6" s="554"/>
      <c r="H6" s="554"/>
      <c r="I6" s="554"/>
      <c r="J6" s="555"/>
    </row>
    <row r="7" spans="1:10" s="2" customFormat="1" ht="12.6" customHeight="1" x14ac:dyDescent="0.2">
      <c r="A7" s="553"/>
      <c r="B7" s="554"/>
      <c r="C7" s="554"/>
      <c r="D7" s="554"/>
      <c r="E7" s="554"/>
      <c r="F7" s="554"/>
      <c r="G7" s="554"/>
      <c r="H7" s="554"/>
      <c r="I7" s="554"/>
      <c r="J7" s="555"/>
    </row>
    <row r="8" spans="1:10" s="2" customFormat="1" ht="12.6" customHeight="1" x14ac:dyDescent="0.2">
      <c r="A8" s="553"/>
      <c r="B8" s="554"/>
      <c r="C8" s="554"/>
      <c r="D8" s="554"/>
      <c r="E8" s="554"/>
      <c r="F8" s="554"/>
      <c r="G8" s="554"/>
      <c r="H8" s="554"/>
      <c r="I8" s="554"/>
      <c r="J8" s="555"/>
    </row>
    <row r="9" spans="1:10" s="2" customFormat="1" ht="12.6" customHeight="1" x14ac:dyDescent="0.2">
      <c r="A9" s="553"/>
      <c r="B9" s="554"/>
      <c r="C9" s="554"/>
      <c r="D9" s="554"/>
      <c r="E9" s="554"/>
      <c r="F9" s="554"/>
      <c r="G9" s="554"/>
      <c r="H9" s="554"/>
      <c r="I9" s="554"/>
      <c r="J9" s="555"/>
    </row>
    <row r="10" spans="1:10" s="2" customFormat="1" ht="12.6" customHeight="1" x14ac:dyDescent="0.2">
      <c r="A10" s="553"/>
      <c r="B10" s="554"/>
      <c r="C10" s="554"/>
      <c r="D10" s="554"/>
      <c r="E10" s="554"/>
      <c r="F10" s="554"/>
      <c r="G10" s="554"/>
      <c r="H10" s="554"/>
      <c r="I10" s="554"/>
      <c r="J10" s="555"/>
    </row>
    <row r="11" spans="1:10" s="2" customFormat="1" ht="12.6" customHeight="1" x14ac:dyDescent="0.2">
      <c r="A11" s="553"/>
      <c r="B11" s="554"/>
      <c r="C11" s="554"/>
      <c r="D11" s="554"/>
      <c r="E11" s="554"/>
      <c r="F11" s="554"/>
      <c r="G11" s="554"/>
      <c r="H11" s="554"/>
      <c r="I11" s="554"/>
      <c r="J11" s="555"/>
    </row>
    <row r="12" spans="1:10" s="2" customFormat="1" ht="12.6" customHeight="1" x14ac:dyDescent="0.2">
      <c r="A12" s="553" t="s">
        <v>348</v>
      </c>
      <c r="B12" s="554"/>
      <c r="C12" s="554"/>
      <c r="D12" s="554"/>
      <c r="E12" s="554"/>
      <c r="F12" s="554"/>
      <c r="G12" s="554"/>
      <c r="H12" s="554"/>
      <c r="I12" s="554"/>
      <c r="J12" s="555"/>
    </row>
    <row r="13" spans="1:10" s="2" customFormat="1" ht="12.6" customHeight="1" x14ac:dyDescent="0.2">
      <c r="A13" s="553"/>
      <c r="B13" s="554"/>
      <c r="C13" s="554"/>
      <c r="D13" s="554"/>
      <c r="E13" s="554"/>
      <c r="F13" s="554"/>
      <c r="G13" s="554"/>
      <c r="H13" s="554"/>
      <c r="I13" s="554"/>
      <c r="J13" s="555"/>
    </row>
    <row r="14" spans="1:10" s="2" customFormat="1" ht="12.6" customHeight="1" x14ac:dyDescent="0.2">
      <c r="A14" s="556"/>
      <c r="B14" s="557"/>
      <c r="C14" s="557"/>
      <c r="D14" s="557"/>
      <c r="E14" s="557"/>
      <c r="F14" s="557"/>
      <c r="G14" s="557"/>
      <c r="H14" s="557"/>
      <c r="I14" s="557"/>
      <c r="J14" s="558"/>
    </row>
    <row r="15" spans="1:10" s="61" customFormat="1" ht="12.75" customHeight="1" x14ac:dyDescent="0.2">
      <c r="A15" s="348" t="s">
        <v>393</v>
      </c>
      <c r="B15" s="349"/>
      <c r="C15" s="349"/>
      <c r="D15" s="349"/>
      <c r="E15" s="349"/>
      <c r="F15" s="562" t="s">
        <v>145</v>
      </c>
      <c r="G15" s="562"/>
      <c r="H15" s="562"/>
      <c r="I15" s="562"/>
      <c r="J15" s="563"/>
    </row>
    <row r="16" spans="1:10" s="61" customFormat="1" ht="12.75" customHeight="1" x14ac:dyDescent="0.2">
      <c r="A16" s="564"/>
      <c r="B16" s="565"/>
      <c r="C16" s="565"/>
      <c r="D16" s="565"/>
      <c r="E16" s="565"/>
      <c r="F16" s="565"/>
      <c r="G16" s="565"/>
      <c r="H16" s="565"/>
      <c r="I16" s="565"/>
      <c r="J16" s="566"/>
    </row>
    <row r="17" spans="1:10" s="61" customFormat="1" ht="50.1" customHeight="1" x14ac:dyDescent="0.2">
      <c r="A17" s="549" t="s">
        <v>163</v>
      </c>
      <c r="B17" s="550"/>
      <c r="C17" s="550"/>
      <c r="D17" s="550"/>
      <c r="E17" s="550"/>
      <c r="F17" s="551">
        <f>'1'!B28-'2a'!F379-'2b'!F291</f>
        <v>386777.47</v>
      </c>
      <c r="G17" s="551"/>
      <c r="H17" s="551"/>
      <c r="I17" s="551"/>
      <c r="J17" s="552"/>
    </row>
    <row r="18" spans="1:10" s="61" customFormat="1" ht="50.1" customHeight="1" x14ac:dyDescent="0.2">
      <c r="A18" s="535" t="s">
        <v>164</v>
      </c>
      <c r="B18" s="536"/>
      <c r="C18" s="536"/>
      <c r="D18" s="536"/>
      <c r="E18" s="536"/>
      <c r="F18" s="537">
        <v>386777.47</v>
      </c>
      <c r="G18" s="537"/>
      <c r="H18" s="537"/>
      <c r="I18" s="537"/>
      <c r="J18" s="538"/>
    </row>
    <row r="19" spans="1:10" s="61" customFormat="1" ht="50.1" customHeight="1" x14ac:dyDescent="0.2">
      <c r="A19" s="535" t="s">
        <v>165</v>
      </c>
      <c r="B19" s="536"/>
      <c r="C19" s="536"/>
      <c r="D19" s="536"/>
      <c r="E19" s="536"/>
      <c r="F19" s="537">
        <v>85971.199999999997</v>
      </c>
      <c r="G19" s="537"/>
      <c r="H19" s="537"/>
      <c r="I19" s="537"/>
      <c r="J19" s="538"/>
    </row>
    <row r="20" spans="1:10" s="61" customFormat="1" ht="50.1" customHeight="1" x14ac:dyDescent="0.2">
      <c r="A20" s="535" t="s">
        <v>166</v>
      </c>
      <c r="B20" s="536"/>
      <c r="C20" s="536"/>
      <c r="D20" s="536"/>
      <c r="E20" s="536"/>
      <c r="F20" s="537"/>
      <c r="G20" s="537"/>
      <c r="H20" s="537"/>
      <c r="I20" s="537"/>
      <c r="J20" s="538"/>
    </row>
    <row r="21" spans="1:10" s="61" customFormat="1" ht="50.1" customHeight="1" x14ac:dyDescent="0.2">
      <c r="A21" s="535" t="s">
        <v>167</v>
      </c>
      <c r="B21" s="536"/>
      <c r="C21" s="536"/>
      <c r="D21" s="536"/>
      <c r="E21" s="536"/>
      <c r="F21" s="537"/>
      <c r="G21" s="537"/>
      <c r="H21" s="537"/>
      <c r="I21" s="537"/>
      <c r="J21" s="538"/>
    </row>
    <row r="22" spans="1:10" s="61" customFormat="1" ht="50.1" customHeight="1" thickBot="1" x14ac:dyDescent="0.25">
      <c r="A22" s="539" t="s">
        <v>168</v>
      </c>
      <c r="B22" s="540"/>
      <c r="C22" s="540"/>
      <c r="D22" s="540"/>
      <c r="E22" s="540"/>
      <c r="F22" s="541">
        <f>SUM(F18:J21)</f>
        <v>472748.67</v>
      </c>
      <c r="G22" s="541"/>
      <c r="H22" s="541"/>
      <c r="I22" s="541"/>
      <c r="J22" s="542"/>
    </row>
    <row r="23" spans="1:10" ht="13.5" thickTop="1" x14ac:dyDescent="0.2"/>
  </sheetData>
  <sheetProtection password="E686" sheet="1" objects="1" scenarios="1" formatRows="0"/>
  <mergeCells count="19">
    <mergeCell ref="A1:J2"/>
    <mergeCell ref="A3:J4"/>
    <mergeCell ref="A17:E17"/>
    <mergeCell ref="F17:J17"/>
    <mergeCell ref="A12:J14"/>
    <mergeCell ref="A5:J11"/>
    <mergeCell ref="A15:E15"/>
    <mergeCell ref="F15:J15"/>
    <mergeCell ref="A16:J16"/>
    <mergeCell ref="A21:E21"/>
    <mergeCell ref="F21:J21"/>
    <mergeCell ref="A18:E18"/>
    <mergeCell ref="F18:J18"/>
    <mergeCell ref="A22:E22"/>
    <mergeCell ref="F22:J22"/>
    <mergeCell ref="A19:E19"/>
    <mergeCell ref="F19:J19"/>
    <mergeCell ref="A20:E20"/>
    <mergeCell ref="F20:J20"/>
  </mergeCells>
  <dataValidations count="1">
    <dataValidation type="list" allowBlank="1" showInputMessage="1" showErrorMessage="1" sqref="F15:J15">
      <formula1>yes</formula1>
    </dataValidation>
  </dataValidations>
  <pageMargins left="0.75" right="0.75" top="1" bottom="1" header="0.5" footer="0.5"/>
  <pageSetup scale="86" fitToHeight="0" orientation="landscape" r:id="rId1"/>
  <headerFooter alignWithMargins="0">
    <oddHeader>&amp;LFFY 2012 Consolidated Application&amp;C&amp;A&amp;R&amp;P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316"/>
  <sheetViews>
    <sheetView zoomScaleNormal="100" workbookViewId="0">
      <selection activeCell="D35" sqref="D35:I35"/>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567" t="s">
        <v>563</v>
      </c>
      <c r="B1" s="568"/>
      <c r="C1" s="568"/>
      <c r="D1" s="568"/>
      <c r="E1" s="568"/>
      <c r="F1" s="568"/>
      <c r="G1" s="568"/>
      <c r="H1" s="568"/>
      <c r="I1" s="568"/>
      <c r="J1" s="569"/>
    </row>
    <row r="2" spans="1:10" ht="12.75" customHeight="1" x14ac:dyDescent="0.2">
      <c r="A2" s="570"/>
      <c r="B2" s="571"/>
      <c r="C2" s="571"/>
      <c r="D2" s="571"/>
      <c r="E2" s="571"/>
      <c r="F2" s="571"/>
      <c r="G2" s="571"/>
      <c r="H2" s="571"/>
      <c r="I2" s="571"/>
      <c r="J2" s="572"/>
    </row>
    <row r="3" spans="1:10" ht="12.75" customHeight="1" x14ac:dyDescent="0.2">
      <c r="A3" s="543" t="s">
        <v>564</v>
      </c>
      <c r="B3" s="544"/>
      <c r="C3" s="544"/>
      <c r="D3" s="544"/>
      <c r="E3" s="544"/>
      <c r="F3" s="544"/>
      <c r="G3" s="544"/>
      <c r="H3" s="544"/>
      <c r="I3" s="544"/>
      <c r="J3" s="545"/>
    </row>
    <row r="4" spans="1:10" ht="12.75" customHeight="1" x14ac:dyDescent="0.2">
      <c r="A4" s="573"/>
      <c r="B4" s="574"/>
      <c r="C4" s="574"/>
      <c r="D4" s="574"/>
      <c r="E4" s="574"/>
      <c r="F4" s="574"/>
      <c r="G4" s="574"/>
      <c r="H4" s="574"/>
      <c r="I4" s="574"/>
      <c r="J4" s="575"/>
    </row>
    <row r="5" spans="1:10" ht="12.75" customHeight="1" x14ac:dyDescent="0.2">
      <c r="A5" s="573"/>
      <c r="B5" s="574"/>
      <c r="C5" s="574"/>
      <c r="D5" s="574"/>
      <c r="E5" s="574"/>
      <c r="F5" s="574"/>
      <c r="G5" s="574"/>
      <c r="H5" s="574"/>
      <c r="I5" s="574"/>
      <c r="J5" s="575"/>
    </row>
    <row r="6" spans="1:10" ht="12.75" customHeight="1" x14ac:dyDescent="0.2">
      <c r="A6" s="546"/>
      <c r="B6" s="547"/>
      <c r="C6" s="547"/>
      <c r="D6" s="547"/>
      <c r="E6" s="547"/>
      <c r="F6" s="547"/>
      <c r="G6" s="547"/>
      <c r="H6" s="547"/>
      <c r="I6" s="547"/>
      <c r="J6" s="548"/>
    </row>
    <row r="7" spans="1:10" s="61" customFormat="1" x14ac:dyDescent="0.2">
      <c r="A7" s="55"/>
      <c r="B7" s="56"/>
      <c r="C7" s="57"/>
      <c r="D7" s="58"/>
      <c r="E7" s="58"/>
      <c r="F7" s="58"/>
      <c r="G7" s="58"/>
      <c r="H7" s="59"/>
      <c r="I7" s="57"/>
      <c r="J7" s="60"/>
    </row>
    <row r="8" spans="1:10" ht="12.75" customHeight="1" x14ac:dyDescent="0.2">
      <c r="A8" s="576" t="s">
        <v>209</v>
      </c>
      <c r="B8" s="577"/>
      <c r="C8" s="577"/>
      <c r="D8" s="577"/>
      <c r="E8" s="577"/>
      <c r="F8" s="577"/>
      <c r="G8" s="577"/>
      <c r="H8" s="577"/>
      <c r="I8" s="577"/>
      <c r="J8" s="578"/>
    </row>
    <row r="9" spans="1:10" ht="12.75" customHeight="1" x14ac:dyDescent="0.2">
      <c r="A9" s="579"/>
      <c r="B9" s="580"/>
      <c r="C9" s="580"/>
      <c r="D9" s="580"/>
      <c r="E9" s="580"/>
      <c r="F9" s="580"/>
      <c r="G9" s="580"/>
      <c r="H9" s="580"/>
      <c r="I9" s="580"/>
      <c r="J9" s="581"/>
    </row>
    <row r="10" spans="1:10" ht="12.75" customHeight="1" x14ac:dyDescent="0.2">
      <c r="A10" s="579"/>
      <c r="B10" s="580"/>
      <c r="C10" s="580"/>
      <c r="D10" s="580"/>
      <c r="E10" s="580"/>
      <c r="F10" s="580"/>
      <c r="G10" s="580"/>
      <c r="H10" s="580"/>
      <c r="I10" s="580"/>
      <c r="J10" s="581"/>
    </row>
    <row r="11" spans="1:10" ht="12.75" customHeight="1" x14ac:dyDescent="0.2">
      <c r="A11" s="579"/>
      <c r="B11" s="580"/>
      <c r="C11" s="580"/>
      <c r="D11" s="580"/>
      <c r="E11" s="580"/>
      <c r="F11" s="580"/>
      <c r="G11" s="580"/>
      <c r="H11" s="580"/>
      <c r="I11" s="580"/>
      <c r="J11" s="581"/>
    </row>
    <row r="12" spans="1:10" ht="12.75" customHeight="1" x14ac:dyDescent="0.2">
      <c r="A12" s="579"/>
      <c r="B12" s="580"/>
      <c r="C12" s="580"/>
      <c r="D12" s="580"/>
      <c r="E12" s="580"/>
      <c r="F12" s="580"/>
      <c r="G12" s="580"/>
      <c r="H12" s="580"/>
      <c r="I12" s="580"/>
      <c r="J12" s="581"/>
    </row>
    <row r="13" spans="1:10" ht="12.75" customHeight="1" x14ac:dyDescent="0.2">
      <c r="A13" s="579"/>
      <c r="B13" s="580"/>
      <c r="C13" s="580"/>
      <c r="D13" s="580"/>
      <c r="E13" s="580"/>
      <c r="F13" s="580"/>
      <c r="G13" s="580"/>
      <c r="H13" s="580"/>
      <c r="I13" s="580"/>
      <c r="J13" s="581"/>
    </row>
    <row r="14" spans="1:10" ht="12.75" customHeight="1" x14ac:dyDescent="0.2">
      <c r="A14" s="579"/>
      <c r="B14" s="580"/>
      <c r="C14" s="580"/>
      <c r="D14" s="580"/>
      <c r="E14" s="580"/>
      <c r="F14" s="580"/>
      <c r="G14" s="580"/>
      <c r="H14" s="580"/>
      <c r="I14" s="580"/>
      <c r="J14" s="581"/>
    </row>
    <row r="15" spans="1:10" ht="12.75" customHeight="1" x14ac:dyDescent="0.2">
      <c r="A15" s="579"/>
      <c r="B15" s="580"/>
      <c r="C15" s="580"/>
      <c r="D15" s="580"/>
      <c r="E15" s="580"/>
      <c r="F15" s="580"/>
      <c r="G15" s="580"/>
      <c r="H15" s="580"/>
      <c r="I15" s="580"/>
      <c r="J15" s="581"/>
    </row>
    <row r="16" spans="1:10" ht="12.75" customHeight="1" x14ac:dyDescent="0.2">
      <c r="A16" s="579"/>
      <c r="B16" s="580"/>
      <c r="C16" s="580"/>
      <c r="D16" s="580"/>
      <c r="E16" s="580"/>
      <c r="F16" s="580"/>
      <c r="G16" s="580"/>
      <c r="H16" s="580"/>
      <c r="I16" s="580"/>
      <c r="J16" s="581"/>
    </row>
    <row r="17" spans="1:10" ht="12.75" customHeight="1" x14ac:dyDescent="0.2">
      <c r="A17" s="579"/>
      <c r="B17" s="580"/>
      <c r="C17" s="580"/>
      <c r="D17" s="580"/>
      <c r="E17" s="580"/>
      <c r="F17" s="580"/>
      <c r="G17" s="580"/>
      <c r="H17" s="580"/>
      <c r="I17" s="580"/>
      <c r="J17" s="581"/>
    </row>
    <row r="18" spans="1:10" ht="12.75" customHeight="1" x14ac:dyDescent="0.2">
      <c r="A18" s="579"/>
      <c r="B18" s="580"/>
      <c r="C18" s="580"/>
      <c r="D18" s="580"/>
      <c r="E18" s="580"/>
      <c r="F18" s="580"/>
      <c r="G18" s="580"/>
      <c r="H18" s="580"/>
      <c r="I18" s="580"/>
      <c r="J18" s="581"/>
    </row>
    <row r="19" spans="1:10" ht="13.5" thickBot="1" x14ac:dyDescent="0.25">
      <c r="A19" s="89"/>
      <c r="B19" s="73"/>
      <c r="C19" s="73"/>
      <c r="D19" s="73"/>
      <c r="E19" s="73"/>
      <c r="F19" s="73"/>
      <c r="G19" s="73"/>
      <c r="H19" s="73"/>
      <c r="I19" s="73"/>
      <c r="J19" s="113"/>
    </row>
    <row r="20" spans="1:10" ht="13.5" customHeight="1" thickBot="1" x14ac:dyDescent="0.25">
      <c r="A20" s="90"/>
      <c r="B20" s="74" t="s">
        <v>23</v>
      </c>
      <c r="C20" s="75"/>
      <c r="D20" s="582" t="s">
        <v>210</v>
      </c>
      <c r="E20" s="582"/>
      <c r="F20" s="582"/>
      <c r="G20" s="582"/>
      <c r="H20" s="582"/>
      <c r="I20" s="582"/>
      <c r="J20" s="583"/>
    </row>
    <row r="21" spans="1:10" ht="13.5" customHeight="1" x14ac:dyDescent="0.2">
      <c r="A21" s="90"/>
      <c r="B21" s="77"/>
      <c r="C21" s="75"/>
      <c r="D21" s="582"/>
      <c r="E21" s="582"/>
      <c r="F21" s="582"/>
      <c r="G21" s="582"/>
      <c r="H21" s="582"/>
      <c r="I21" s="582"/>
      <c r="J21" s="583"/>
    </row>
    <row r="22" spans="1:10" ht="13.5" thickBot="1" x14ac:dyDescent="0.25">
      <c r="A22" s="90"/>
      <c r="B22" s="76"/>
      <c r="C22" s="75"/>
      <c r="D22" s="75"/>
      <c r="E22" s="75"/>
      <c r="F22" s="75"/>
      <c r="G22" s="75"/>
      <c r="H22" s="75"/>
      <c r="I22" s="75"/>
      <c r="J22" s="87"/>
    </row>
    <row r="23" spans="1:10" ht="13.5" customHeight="1" thickBot="1" x14ac:dyDescent="0.25">
      <c r="A23" s="90"/>
      <c r="B23" s="77"/>
      <c r="C23" s="75"/>
      <c r="D23" s="582" t="s">
        <v>211</v>
      </c>
      <c r="E23" s="582"/>
      <c r="F23" s="582"/>
      <c r="G23" s="582"/>
      <c r="H23" s="586"/>
      <c r="I23" s="85">
        <v>41038</v>
      </c>
      <c r="J23" s="127"/>
    </row>
    <row r="24" spans="1:10" ht="12.75" hidden="1" customHeight="1" x14ac:dyDescent="0.2">
      <c r="A24" s="90"/>
      <c r="B24" s="77"/>
      <c r="C24" s="75"/>
      <c r="D24" s="126"/>
      <c r="E24" s="126"/>
      <c r="F24" s="126"/>
      <c r="G24" s="126"/>
      <c r="H24" s="126"/>
      <c r="I24" s="126"/>
      <c r="J24" s="127"/>
    </row>
    <row r="25" spans="1:10" ht="12.75" customHeight="1" thickBot="1" x14ac:dyDescent="0.25">
      <c r="A25" s="90"/>
      <c r="B25" s="77"/>
      <c r="C25" s="75"/>
      <c r="D25" s="126"/>
      <c r="E25" s="126"/>
      <c r="F25" s="126"/>
      <c r="G25" s="126"/>
      <c r="H25" s="126"/>
      <c r="I25" s="126"/>
      <c r="J25" s="127"/>
    </row>
    <row r="26" spans="1:10" ht="12.75" customHeight="1" thickBot="1" x14ac:dyDescent="0.25">
      <c r="A26" s="90"/>
      <c r="B26" s="77"/>
      <c r="C26" s="75"/>
      <c r="D26" s="582" t="s">
        <v>212</v>
      </c>
      <c r="E26" s="582"/>
      <c r="F26" s="582"/>
      <c r="G26" s="582"/>
      <c r="H26" s="586"/>
      <c r="I26" s="85">
        <v>41142</v>
      </c>
      <c r="J26" s="127"/>
    </row>
    <row r="27" spans="1:10" ht="12.75" customHeight="1" x14ac:dyDescent="0.2">
      <c r="A27" s="90"/>
      <c r="B27" s="77"/>
      <c r="C27" s="75"/>
      <c r="D27" s="126"/>
      <c r="E27" s="126"/>
      <c r="F27" s="126"/>
      <c r="G27" s="126"/>
      <c r="H27" s="126"/>
      <c r="I27" s="126"/>
      <c r="J27" s="127"/>
    </row>
    <row r="28" spans="1:10" ht="12.75" customHeight="1" x14ac:dyDescent="0.2">
      <c r="A28" s="90"/>
      <c r="B28" s="591" t="s">
        <v>213</v>
      </c>
      <c r="C28" s="591"/>
      <c r="D28" s="591"/>
      <c r="E28" s="591"/>
      <c r="F28" s="591"/>
      <c r="G28" s="591"/>
      <c r="H28" s="591"/>
      <c r="I28" s="126"/>
      <c r="J28" s="98"/>
    </row>
    <row r="29" spans="1:10" ht="12.75" customHeight="1" x14ac:dyDescent="0.2">
      <c r="A29" s="90"/>
      <c r="B29" s="76"/>
      <c r="C29" s="75"/>
      <c r="D29" s="75"/>
      <c r="E29" s="75"/>
      <c r="F29" s="75"/>
      <c r="G29" s="75"/>
      <c r="H29" s="75"/>
      <c r="I29" s="75"/>
      <c r="J29" s="87"/>
    </row>
    <row r="30" spans="1:10" ht="12.75" customHeight="1" x14ac:dyDescent="0.2">
      <c r="A30" s="90"/>
      <c r="B30" s="592" t="s">
        <v>223</v>
      </c>
      <c r="C30" s="592"/>
      <c r="D30" s="75"/>
      <c r="E30" s="75"/>
      <c r="F30" s="75"/>
      <c r="G30" s="75"/>
      <c r="H30" s="75"/>
      <c r="I30" s="75"/>
      <c r="J30" s="87"/>
    </row>
    <row r="31" spans="1:10" ht="12.75" customHeight="1" thickBot="1" x14ac:dyDescent="0.25">
      <c r="A31" s="90"/>
      <c r="B31" s="76"/>
      <c r="C31" s="75"/>
      <c r="D31" s="75"/>
      <c r="E31" s="75"/>
      <c r="F31" s="75"/>
      <c r="G31" s="75"/>
      <c r="H31" s="75"/>
      <c r="I31" s="75"/>
      <c r="J31" s="87"/>
    </row>
    <row r="32" spans="1:10" ht="12.75" customHeight="1" thickBot="1" x14ac:dyDescent="0.25">
      <c r="A32" s="90"/>
      <c r="B32" s="74" t="s">
        <v>23</v>
      </c>
      <c r="C32" s="75"/>
      <c r="D32" s="582" t="s">
        <v>219</v>
      </c>
      <c r="E32" s="582"/>
      <c r="F32" s="582"/>
      <c r="G32" s="582"/>
      <c r="H32" s="582"/>
      <c r="I32" s="126"/>
      <c r="J32" s="127"/>
    </row>
    <row r="33" spans="1:10" ht="13.5" thickBot="1" x14ac:dyDescent="0.25">
      <c r="A33" s="90"/>
      <c r="B33" s="77"/>
      <c r="C33" s="75"/>
      <c r="D33" s="126"/>
      <c r="E33" s="126"/>
      <c r="F33" s="126"/>
      <c r="G33" s="126"/>
      <c r="H33" s="126"/>
      <c r="I33" s="126"/>
      <c r="J33" s="127"/>
    </row>
    <row r="34" spans="1:10" ht="12.75" customHeight="1" thickBot="1" x14ac:dyDescent="0.25">
      <c r="A34" s="90"/>
      <c r="B34" s="79" t="s">
        <v>23</v>
      </c>
      <c r="C34" s="75"/>
      <c r="D34" s="587" t="s">
        <v>214</v>
      </c>
      <c r="E34" s="587"/>
      <c r="F34" s="587"/>
      <c r="G34" s="587"/>
      <c r="H34" s="587"/>
      <c r="I34" s="78"/>
      <c r="J34" s="92"/>
    </row>
    <row r="35" spans="1:10" ht="13.5" thickBot="1" x14ac:dyDescent="0.25">
      <c r="A35" s="90"/>
      <c r="B35" s="77"/>
      <c r="C35" s="75"/>
      <c r="D35" s="588" t="s">
        <v>661</v>
      </c>
      <c r="E35" s="589"/>
      <c r="F35" s="589"/>
      <c r="G35" s="589"/>
      <c r="H35" s="589"/>
      <c r="I35" s="590"/>
      <c r="J35" s="127"/>
    </row>
    <row r="36" spans="1:10" ht="13.5" thickBot="1" x14ac:dyDescent="0.25">
      <c r="A36" s="90"/>
      <c r="B36" s="77"/>
      <c r="C36" s="75"/>
      <c r="D36" s="126"/>
      <c r="E36" s="126"/>
      <c r="F36" s="126"/>
      <c r="G36" s="126"/>
      <c r="H36" s="126"/>
      <c r="I36" s="126"/>
      <c r="J36" s="127"/>
    </row>
    <row r="37" spans="1:10" ht="13.5" thickBot="1" x14ac:dyDescent="0.25">
      <c r="A37" s="90"/>
      <c r="B37" s="79"/>
      <c r="C37" s="75"/>
      <c r="D37" s="126" t="s">
        <v>215</v>
      </c>
      <c r="E37" s="126"/>
      <c r="F37" s="126"/>
      <c r="G37" s="126"/>
      <c r="H37" s="126"/>
      <c r="I37" s="126"/>
      <c r="J37" s="127"/>
    </row>
    <row r="38" spans="1:10" ht="13.5" thickBot="1" x14ac:dyDescent="0.25">
      <c r="A38" s="90"/>
      <c r="B38" s="76"/>
      <c r="C38" s="75"/>
      <c r="D38" s="80"/>
      <c r="E38" s="75"/>
      <c r="F38" s="75"/>
      <c r="G38" s="75"/>
      <c r="H38" s="75"/>
      <c r="I38" s="75"/>
      <c r="J38" s="87"/>
    </row>
    <row r="39" spans="1:10" ht="12.75" customHeight="1" thickBot="1" x14ac:dyDescent="0.25">
      <c r="A39" s="90"/>
      <c r="B39" s="74"/>
      <c r="C39" s="75"/>
      <c r="D39" s="582" t="s">
        <v>216</v>
      </c>
      <c r="E39" s="582"/>
      <c r="F39" s="582"/>
      <c r="G39" s="582"/>
      <c r="H39" s="582"/>
      <c r="I39" s="126"/>
      <c r="J39" s="127"/>
    </row>
    <row r="40" spans="1:10" ht="13.5" thickBot="1" x14ac:dyDescent="0.25">
      <c r="A40" s="90"/>
      <c r="B40" s="77"/>
      <c r="C40" s="75"/>
      <c r="D40" s="126"/>
      <c r="E40" s="126"/>
      <c r="F40" s="126"/>
      <c r="G40" s="126"/>
      <c r="H40" s="126"/>
      <c r="I40" s="126"/>
      <c r="J40" s="127"/>
    </row>
    <row r="41" spans="1:10" ht="12.75" customHeight="1" thickBot="1" x14ac:dyDescent="0.25">
      <c r="A41" s="90"/>
      <c r="B41" s="79"/>
      <c r="C41" s="75"/>
      <c r="D41" s="587" t="s">
        <v>217</v>
      </c>
      <c r="E41" s="587"/>
      <c r="F41" s="587"/>
      <c r="G41" s="587"/>
      <c r="H41" s="587"/>
      <c r="I41" s="78"/>
      <c r="J41" s="92"/>
    </row>
    <row r="42" spans="1:10" ht="13.5" thickBot="1" x14ac:dyDescent="0.25">
      <c r="A42" s="90"/>
      <c r="B42" s="77"/>
      <c r="C42" s="75"/>
      <c r="D42" s="126"/>
      <c r="E42" s="126"/>
      <c r="F42" s="126"/>
      <c r="G42" s="126"/>
      <c r="H42" s="126"/>
      <c r="I42" s="126"/>
      <c r="J42" s="127"/>
    </row>
    <row r="43" spans="1:10" ht="13.5" thickBot="1" x14ac:dyDescent="0.25">
      <c r="A43" s="90"/>
      <c r="B43" s="79"/>
      <c r="C43" s="75"/>
      <c r="D43" s="126" t="s">
        <v>218</v>
      </c>
      <c r="E43" s="126"/>
      <c r="F43" s="126"/>
      <c r="G43" s="126"/>
      <c r="H43" s="126"/>
      <c r="I43" s="126"/>
      <c r="J43" s="127"/>
    </row>
    <row r="44" spans="1:10" ht="13.5" thickBot="1" x14ac:dyDescent="0.25">
      <c r="A44" s="90"/>
      <c r="B44" s="76"/>
      <c r="C44" s="75"/>
      <c r="D44" s="80"/>
      <c r="E44" s="75"/>
      <c r="F44" s="75"/>
      <c r="G44" s="75"/>
      <c r="H44" s="75"/>
      <c r="I44" s="75"/>
      <c r="J44" s="87"/>
    </row>
    <row r="45" spans="1:10" ht="12.75" customHeight="1" thickBot="1" x14ac:dyDescent="0.25">
      <c r="A45" s="90"/>
      <c r="B45" s="74"/>
      <c r="C45" s="75"/>
      <c r="D45" s="582" t="s">
        <v>220</v>
      </c>
      <c r="E45" s="582"/>
      <c r="F45" s="582"/>
      <c r="G45" s="582"/>
      <c r="H45" s="582"/>
      <c r="I45" s="126"/>
      <c r="J45" s="127"/>
    </row>
    <row r="46" spans="1:10" ht="13.5" thickBot="1" x14ac:dyDescent="0.25">
      <c r="A46" s="90"/>
      <c r="B46" s="77"/>
      <c r="C46" s="75"/>
      <c r="D46" s="126"/>
      <c r="E46" s="126"/>
      <c r="F46" s="126"/>
      <c r="G46" s="126"/>
      <c r="H46" s="126"/>
      <c r="I46" s="126"/>
      <c r="J46" s="127"/>
    </row>
    <row r="47" spans="1:10" ht="12.75" customHeight="1" thickBot="1" x14ac:dyDescent="0.25">
      <c r="A47" s="90"/>
      <c r="B47" s="79"/>
      <c r="C47" s="75"/>
      <c r="D47" s="587" t="s">
        <v>221</v>
      </c>
      <c r="E47" s="587"/>
      <c r="F47" s="587"/>
      <c r="G47" s="587"/>
      <c r="H47" s="587"/>
      <c r="I47" s="78"/>
      <c r="J47" s="92"/>
    </row>
    <row r="48" spans="1:10" ht="13.5" customHeight="1" thickBot="1" x14ac:dyDescent="0.25">
      <c r="A48" s="90"/>
      <c r="B48" s="77"/>
      <c r="C48" s="75"/>
      <c r="D48" s="114"/>
      <c r="E48" s="126"/>
      <c r="F48" s="126"/>
      <c r="G48" s="126"/>
      <c r="H48" s="126"/>
      <c r="I48" s="126"/>
      <c r="J48" s="127"/>
    </row>
    <row r="49" spans="1:10" ht="12.75" customHeight="1" thickBot="1" x14ac:dyDescent="0.25">
      <c r="A49" s="90"/>
      <c r="B49" s="79"/>
      <c r="C49" s="75"/>
      <c r="D49" s="582" t="s">
        <v>222</v>
      </c>
      <c r="E49" s="582"/>
      <c r="F49" s="582"/>
      <c r="G49" s="582"/>
      <c r="H49" s="582"/>
      <c r="I49" s="582"/>
      <c r="J49" s="127"/>
    </row>
    <row r="50" spans="1:10" ht="13.5" thickBot="1" x14ac:dyDescent="0.25">
      <c r="A50" s="90"/>
      <c r="B50" s="77"/>
      <c r="C50" s="75"/>
      <c r="D50" s="588"/>
      <c r="E50" s="589"/>
      <c r="F50" s="589"/>
      <c r="G50" s="589"/>
      <c r="H50" s="589"/>
      <c r="I50" s="590"/>
      <c r="J50" s="127"/>
    </row>
    <row r="51" spans="1:10" x14ac:dyDescent="0.2">
      <c r="A51" s="90"/>
      <c r="B51" s="76"/>
      <c r="C51" s="75"/>
      <c r="D51" s="80"/>
      <c r="E51" s="75"/>
      <c r="F51" s="75"/>
      <c r="G51" s="75"/>
      <c r="H51" s="75"/>
      <c r="I51" s="75"/>
      <c r="J51" s="87"/>
    </row>
    <row r="52" spans="1:10" ht="12.75" customHeight="1" x14ac:dyDescent="0.2">
      <c r="A52" s="90"/>
      <c r="B52" s="592" t="s">
        <v>224</v>
      </c>
      <c r="C52" s="592"/>
      <c r="D52" s="75"/>
      <c r="E52" s="75"/>
      <c r="F52" s="75"/>
      <c r="G52" s="75"/>
      <c r="H52" s="75"/>
      <c r="I52" s="75"/>
      <c r="J52" s="87"/>
    </row>
    <row r="53" spans="1:10" ht="12.75" customHeight="1" thickBot="1" x14ac:dyDescent="0.25">
      <c r="A53" s="90"/>
      <c r="B53" s="76"/>
      <c r="C53" s="75"/>
      <c r="D53" s="75"/>
      <c r="E53" s="75"/>
      <c r="F53" s="75"/>
      <c r="G53" s="75"/>
      <c r="H53" s="75"/>
      <c r="I53" s="75"/>
      <c r="J53" s="87"/>
    </row>
    <row r="54" spans="1:10" ht="12.75" customHeight="1" thickBot="1" x14ac:dyDescent="0.25">
      <c r="A54" s="90"/>
      <c r="B54" s="74"/>
      <c r="C54" s="75"/>
      <c r="D54" s="582" t="s">
        <v>225</v>
      </c>
      <c r="E54" s="582"/>
      <c r="F54" s="582"/>
      <c r="G54" s="582"/>
      <c r="H54" s="582"/>
      <c r="I54" s="126"/>
      <c r="J54" s="127"/>
    </row>
    <row r="55" spans="1:10" ht="13.5" thickBot="1" x14ac:dyDescent="0.25">
      <c r="A55" s="90"/>
      <c r="B55" s="77"/>
      <c r="C55" s="75"/>
      <c r="D55" s="126"/>
      <c r="E55" s="126"/>
      <c r="F55" s="126"/>
      <c r="G55" s="126"/>
      <c r="H55" s="126"/>
      <c r="I55" s="126"/>
      <c r="J55" s="127"/>
    </row>
    <row r="56" spans="1:10" ht="12.75" customHeight="1" thickBot="1" x14ac:dyDescent="0.25">
      <c r="A56" s="90"/>
      <c r="B56" s="79"/>
      <c r="C56" s="75"/>
      <c r="D56" s="587" t="s">
        <v>226</v>
      </c>
      <c r="E56" s="587"/>
      <c r="F56" s="587"/>
      <c r="G56" s="587"/>
      <c r="H56" s="587"/>
      <c r="I56" s="78"/>
      <c r="J56" s="92"/>
    </row>
    <row r="57" spans="1:10" ht="13.5" thickBot="1" x14ac:dyDescent="0.25">
      <c r="A57" s="90"/>
      <c r="B57" s="77"/>
      <c r="C57" s="75"/>
      <c r="D57" s="126"/>
      <c r="E57" s="126"/>
      <c r="F57" s="126"/>
      <c r="G57" s="126"/>
      <c r="H57" s="126"/>
      <c r="I57" s="126"/>
      <c r="J57" s="127"/>
    </row>
    <row r="58" spans="1:10" ht="12.75" customHeight="1" thickBot="1" x14ac:dyDescent="0.25">
      <c r="A58" s="90"/>
      <c r="B58" s="79"/>
      <c r="C58" s="75"/>
      <c r="D58" s="582" t="s">
        <v>227</v>
      </c>
      <c r="E58" s="582"/>
      <c r="F58" s="582"/>
      <c r="G58" s="582"/>
      <c r="H58" s="582"/>
      <c r="I58" s="126"/>
      <c r="J58" s="127"/>
    </row>
    <row r="59" spans="1:10" ht="13.5" thickBot="1" x14ac:dyDescent="0.25">
      <c r="A59" s="90"/>
      <c r="B59" s="76"/>
      <c r="C59" s="75"/>
      <c r="D59" s="80"/>
      <c r="E59" s="75"/>
      <c r="F59" s="75"/>
      <c r="G59" s="75"/>
      <c r="H59" s="75"/>
      <c r="I59" s="75"/>
      <c r="J59" s="87"/>
    </row>
    <row r="60" spans="1:10" ht="12.75" customHeight="1" thickBot="1" x14ac:dyDescent="0.25">
      <c r="A60" s="90"/>
      <c r="B60" s="74"/>
      <c r="C60" s="75"/>
      <c r="D60" s="582" t="s">
        <v>228</v>
      </c>
      <c r="E60" s="582"/>
      <c r="F60" s="582"/>
      <c r="G60" s="582"/>
      <c r="H60" s="582"/>
      <c r="I60" s="126"/>
      <c r="J60" s="127"/>
    </row>
    <row r="61" spans="1:10" ht="13.5" thickBot="1" x14ac:dyDescent="0.25">
      <c r="A61" s="90"/>
      <c r="B61" s="77"/>
      <c r="C61" s="75"/>
      <c r="D61" s="126"/>
      <c r="E61" s="126"/>
      <c r="F61" s="126"/>
      <c r="G61" s="126"/>
      <c r="H61" s="126"/>
      <c r="I61" s="126"/>
      <c r="J61" s="127"/>
    </row>
    <row r="62" spans="1:10" ht="12.75" customHeight="1" thickBot="1" x14ac:dyDescent="0.25">
      <c r="A62" s="90"/>
      <c r="B62" s="79" t="s">
        <v>23</v>
      </c>
      <c r="C62" s="75"/>
      <c r="D62" s="587" t="s">
        <v>229</v>
      </c>
      <c r="E62" s="587"/>
      <c r="F62" s="587"/>
      <c r="G62" s="587"/>
      <c r="H62" s="587"/>
      <c r="I62" s="78"/>
      <c r="J62" s="92"/>
    </row>
    <row r="63" spans="1:10" ht="13.5" thickBot="1" x14ac:dyDescent="0.25">
      <c r="A63" s="90"/>
      <c r="B63" s="77"/>
      <c r="C63" s="75"/>
      <c r="D63" s="126"/>
      <c r="E63" s="126"/>
      <c r="F63" s="126"/>
      <c r="G63" s="126"/>
      <c r="H63" s="126"/>
      <c r="I63" s="126"/>
      <c r="J63" s="127"/>
    </row>
    <row r="64" spans="1:10" ht="12.75" customHeight="1" thickBot="1" x14ac:dyDescent="0.25">
      <c r="A64" s="90"/>
      <c r="B64" s="79"/>
      <c r="C64" s="75"/>
      <c r="D64" s="582" t="s">
        <v>222</v>
      </c>
      <c r="E64" s="582"/>
      <c r="F64" s="582"/>
      <c r="G64" s="582"/>
      <c r="H64" s="582"/>
      <c r="I64" s="582"/>
      <c r="J64" s="127"/>
    </row>
    <row r="65" spans="1:10" ht="13.5" thickBot="1" x14ac:dyDescent="0.25">
      <c r="A65" s="90"/>
      <c r="B65" s="77"/>
      <c r="C65" s="75"/>
      <c r="D65" s="588"/>
      <c r="E65" s="589"/>
      <c r="F65" s="589"/>
      <c r="G65" s="589"/>
      <c r="H65" s="589"/>
      <c r="I65" s="590"/>
      <c r="J65" s="127"/>
    </row>
    <row r="66" spans="1:10" x14ac:dyDescent="0.2">
      <c r="A66" s="93"/>
      <c r="B66" s="81"/>
      <c r="C66" s="82"/>
      <c r="D66" s="83"/>
      <c r="E66" s="83"/>
      <c r="F66" s="83"/>
      <c r="G66" s="83"/>
      <c r="H66" s="83"/>
      <c r="I66" s="83"/>
      <c r="J66" s="94"/>
    </row>
    <row r="67" spans="1:10" s="61" customFormat="1" x14ac:dyDescent="0.2">
      <c r="A67" s="55"/>
      <c r="B67" s="56"/>
      <c r="C67" s="57"/>
      <c r="D67" s="58"/>
      <c r="E67" s="58"/>
      <c r="F67" s="58"/>
      <c r="G67" s="58"/>
      <c r="H67" s="59"/>
      <c r="I67" s="57"/>
      <c r="J67" s="60"/>
    </row>
    <row r="68" spans="1:10" s="61" customFormat="1" ht="25.5" customHeight="1" x14ac:dyDescent="0.2">
      <c r="A68" s="602" t="s">
        <v>565</v>
      </c>
      <c r="B68" s="603"/>
      <c r="C68" s="603"/>
      <c r="D68" s="603"/>
      <c r="E68" s="603"/>
      <c r="F68" s="603"/>
      <c r="G68" s="603"/>
      <c r="H68" s="603"/>
      <c r="I68" s="603"/>
      <c r="J68" s="604"/>
    </row>
    <row r="69" spans="1:10" ht="12.75" customHeight="1" x14ac:dyDescent="0.2">
      <c r="A69" s="593" t="s">
        <v>322</v>
      </c>
      <c r="B69" s="594"/>
      <c r="C69" s="594"/>
      <c r="D69" s="594"/>
      <c r="E69" s="594"/>
      <c r="F69" s="594"/>
      <c r="G69" s="594"/>
      <c r="H69" s="594"/>
      <c r="I69" s="594"/>
      <c r="J69" s="595"/>
    </row>
    <row r="70" spans="1:10" ht="12.75" customHeight="1" x14ac:dyDescent="0.2">
      <c r="A70" s="596"/>
      <c r="B70" s="597"/>
      <c r="C70" s="597"/>
      <c r="D70" s="597"/>
      <c r="E70" s="597"/>
      <c r="F70" s="597"/>
      <c r="G70" s="597"/>
      <c r="H70" s="597"/>
      <c r="I70" s="597"/>
      <c r="J70" s="598"/>
    </row>
    <row r="71" spans="1:10" ht="12.75" customHeight="1" x14ac:dyDescent="0.2">
      <c r="A71" s="596"/>
      <c r="B71" s="597"/>
      <c r="C71" s="597"/>
      <c r="D71" s="597"/>
      <c r="E71" s="597"/>
      <c r="F71" s="597"/>
      <c r="G71" s="597"/>
      <c r="H71" s="597"/>
      <c r="I71" s="597"/>
      <c r="J71" s="598"/>
    </row>
    <row r="72" spans="1:10" ht="15" customHeight="1" x14ac:dyDescent="0.2">
      <c r="A72" s="599"/>
      <c r="B72" s="600"/>
      <c r="C72" s="600"/>
      <c r="D72" s="600"/>
      <c r="E72" s="600"/>
      <c r="F72" s="600"/>
      <c r="G72" s="600"/>
      <c r="H72" s="600"/>
      <c r="I72" s="600"/>
      <c r="J72" s="601"/>
    </row>
    <row r="73" spans="1:10" ht="12.75" customHeight="1" thickBot="1" x14ac:dyDescent="0.25">
      <c r="A73" s="90"/>
      <c r="B73" s="77"/>
      <c r="C73" s="75"/>
      <c r="D73" s="126"/>
      <c r="E73" s="126"/>
      <c r="F73" s="126"/>
      <c r="G73" s="126"/>
      <c r="H73" s="126"/>
      <c r="I73" s="126"/>
      <c r="J73" s="127"/>
    </row>
    <row r="74" spans="1:10" ht="13.5" customHeight="1" thickBot="1" x14ac:dyDescent="0.25">
      <c r="A74" s="90"/>
      <c r="B74" s="74" t="s">
        <v>23</v>
      </c>
      <c r="C74" s="75"/>
      <c r="D74" s="605" t="s">
        <v>312</v>
      </c>
      <c r="E74" s="605"/>
      <c r="F74" s="605"/>
      <c r="G74" s="605"/>
      <c r="H74" s="605"/>
      <c r="I74" s="605"/>
      <c r="J74" s="606"/>
    </row>
    <row r="75" spans="1:10" ht="13.5" customHeight="1" x14ac:dyDescent="0.2">
      <c r="A75" s="90"/>
      <c r="B75" s="77"/>
      <c r="C75" s="75"/>
      <c r="D75" s="605"/>
      <c r="E75" s="605"/>
      <c r="F75" s="605"/>
      <c r="G75" s="605"/>
      <c r="H75" s="605"/>
      <c r="I75" s="605"/>
      <c r="J75" s="606"/>
    </row>
    <row r="76" spans="1:10" ht="13.5" customHeight="1" x14ac:dyDescent="0.2">
      <c r="A76" s="90"/>
      <c r="B76" s="77"/>
      <c r="C76" s="75"/>
      <c r="D76" s="605"/>
      <c r="E76" s="605"/>
      <c r="F76" s="605"/>
      <c r="G76" s="605"/>
      <c r="H76" s="605"/>
      <c r="I76" s="605"/>
      <c r="J76" s="606"/>
    </row>
    <row r="77" spans="1:10" ht="13.5" customHeight="1" x14ac:dyDescent="0.2">
      <c r="A77" s="90"/>
      <c r="B77" s="77"/>
      <c r="C77" s="75"/>
      <c r="D77" s="605"/>
      <c r="E77" s="605"/>
      <c r="F77" s="605"/>
      <c r="G77" s="605"/>
      <c r="H77" s="605"/>
      <c r="I77" s="605"/>
      <c r="J77" s="606"/>
    </row>
    <row r="78" spans="1:10" ht="13.5" customHeight="1" x14ac:dyDescent="0.2">
      <c r="A78" s="90"/>
      <c r="B78" s="77"/>
      <c r="C78" s="75"/>
      <c r="D78" s="605"/>
      <c r="E78" s="605"/>
      <c r="F78" s="605"/>
      <c r="G78" s="605"/>
      <c r="H78" s="605"/>
      <c r="I78" s="605"/>
      <c r="J78" s="606"/>
    </row>
    <row r="79" spans="1:10" ht="13.5" customHeight="1" x14ac:dyDescent="0.2">
      <c r="A79" s="90"/>
      <c r="B79" s="77"/>
      <c r="C79" s="75"/>
      <c r="D79" s="605"/>
      <c r="E79" s="605"/>
      <c r="F79" s="605"/>
      <c r="G79" s="605"/>
      <c r="H79" s="605"/>
      <c r="I79" s="605"/>
      <c r="J79" s="606"/>
    </row>
    <row r="80" spans="1:10" ht="13.5" customHeight="1" x14ac:dyDescent="0.2">
      <c r="A80" s="90"/>
      <c r="B80" s="77"/>
      <c r="C80" s="75"/>
      <c r="D80" s="605"/>
      <c r="E80" s="605"/>
      <c r="F80" s="605"/>
      <c r="G80" s="605"/>
      <c r="H80" s="605"/>
      <c r="I80" s="605"/>
      <c r="J80" s="606"/>
    </row>
    <row r="81" spans="1:11" ht="13.5" customHeight="1" x14ac:dyDescent="0.2">
      <c r="A81" s="90"/>
      <c r="B81" s="77"/>
      <c r="C81" s="75"/>
      <c r="D81" s="605"/>
      <c r="E81" s="605"/>
      <c r="F81" s="605"/>
      <c r="G81" s="605"/>
      <c r="H81" s="605"/>
      <c r="I81" s="605"/>
      <c r="J81" s="606"/>
    </row>
    <row r="82" spans="1:11" ht="13.5" customHeight="1" x14ac:dyDescent="0.2">
      <c r="A82" s="90"/>
      <c r="B82" s="77"/>
      <c r="C82" s="75"/>
      <c r="D82" s="605"/>
      <c r="E82" s="605"/>
      <c r="F82" s="605"/>
      <c r="G82" s="605"/>
      <c r="H82" s="605"/>
      <c r="I82" s="605"/>
      <c r="J82" s="606"/>
    </row>
    <row r="83" spans="1:11" ht="13.5" customHeight="1" x14ac:dyDescent="0.2">
      <c r="A83" s="90"/>
      <c r="B83" s="77"/>
      <c r="C83" s="75"/>
      <c r="D83" s="605"/>
      <c r="E83" s="605"/>
      <c r="F83" s="605"/>
      <c r="G83" s="605"/>
      <c r="H83" s="605"/>
      <c r="I83" s="605"/>
      <c r="J83" s="606"/>
    </row>
    <row r="84" spans="1:11" ht="13.5" customHeight="1" thickBot="1" x14ac:dyDescent="0.25">
      <c r="A84" s="90"/>
      <c r="B84" s="77"/>
      <c r="C84" s="75"/>
      <c r="D84" s="605"/>
      <c r="E84" s="605"/>
      <c r="F84" s="605"/>
      <c r="G84" s="605"/>
      <c r="H84" s="605"/>
      <c r="I84" s="605"/>
      <c r="J84" s="606"/>
    </row>
    <row r="85" spans="1:11" ht="12.75" customHeight="1" thickBot="1" x14ac:dyDescent="0.25">
      <c r="A85" s="90"/>
      <c r="B85" s="74" t="s">
        <v>23</v>
      </c>
      <c r="C85" s="75"/>
      <c r="D85" s="582" t="s">
        <v>313</v>
      </c>
      <c r="E85" s="582"/>
      <c r="F85" s="582"/>
      <c r="G85" s="582"/>
      <c r="H85" s="582"/>
      <c r="I85" s="582"/>
      <c r="J85" s="583"/>
    </row>
    <row r="86" spans="1:11" ht="12.75" customHeight="1" x14ac:dyDescent="0.2">
      <c r="A86" s="90"/>
      <c r="B86" s="77"/>
      <c r="C86" s="75"/>
      <c r="D86" s="126"/>
      <c r="E86" s="126"/>
      <c r="F86" s="126"/>
      <c r="G86" s="126"/>
      <c r="H86" s="126"/>
      <c r="I86" s="126"/>
      <c r="J86" s="127"/>
    </row>
    <row r="87" spans="1:11" ht="12.75" customHeight="1" x14ac:dyDescent="0.2">
      <c r="A87" s="90"/>
      <c r="B87" s="77"/>
      <c r="C87" s="75"/>
      <c r="D87" s="126"/>
      <c r="E87" s="126"/>
      <c r="F87" s="126"/>
      <c r="G87" s="126"/>
      <c r="H87" s="126"/>
      <c r="I87" s="126"/>
      <c r="J87" s="127"/>
    </row>
    <row r="88" spans="1:11" ht="12.75" customHeight="1" x14ac:dyDescent="0.2">
      <c r="A88" s="90"/>
      <c r="B88" s="607" t="s">
        <v>316</v>
      </c>
      <c r="C88" s="607"/>
      <c r="D88" s="607"/>
      <c r="E88" s="607"/>
      <c r="F88" s="607"/>
      <c r="G88" s="607"/>
      <c r="H88" s="607"/>
      <c r="I88" s="607"/>
      <c r="J88" s="608"/>
      <c r="K88" s="98"/>
    </row>
    <row r="89" spans="1:11" ht="12.75" customHeight="1" x14ac:dyDescent="0.2">
      <c r="A89" s="90"/>
      <c r="B89" s="607"/>
      <c r="C89" s="607"/>
      <c r="D89" s="607"/>
      <c r="E89" s="607"/>
      <c r="F89" s="607"/>
      <c r="G89" s="607"/>
      <c r="H89" s="607"/>
      <c r="I89" s="607"/>
      <c r="J89" s="608"/>
      <c r="K89" s="98"/>
    </row>
    <row r="90" spans="1:11" ht="12.75" customHeight="1" thickBot="1" x14ac:dyDescent="0.25">
      <c r="A90" s="90"/>
      <c r="B90" s="76"/>
      <c r="C90" s="75"/>
      <c r="D90" s="75"/>
      <c r="E90" s="75"/>
      <c r="F90" s="75"/>
      <c r="G90" s="75"/>
      <c r="H90" s="75"/>
      <c r="I90" s="75"/>
      <c r="J90" s="87"/>
      <c r="K90" s="98"/>
    </row>
    <row r="91" spans="1:11" ht="12.75" customHeight="1" thickBot="1" x14ac:dyDescent="0.25">
      <c r="A91" s="90"/>
      <c r="B91" s="79"/>
      <c r="C91" s="75"/>
      <c r="D91" s="582" t="s">
        <v>586</v>
      </c>
      <c r="E91" s="582"/>
      <c r="F91" s="582"/>
      <c r="G91" s="582"/>
      <c r="H91" s="582"/>
      <c r="I91" s="582"/>
      <c r="J91" s="127"/>
    </row>
    <row r="92" spans="1:11" ht="13.5" thickBot="1" x14ac:dyDescent="0.25">
      <c r="A92" s="90"/>
      <c r="B92" s="77"/>
      <c r="C92" s="75"/>
      <c r="D92" s="588"/>
      <c r="E92" s="589"/>
      <c r="F92" s="589"/>
      <c r="G92" s="589"/>
      <c r="H92" s="589"/>
      <c r="I92" s="590"/>
      <c r="J92" s="127"/>
    </row>
    <row r="93" spans="1:11" ht="12.75" customHeight="1" thickBot="1" x14ac:dyDescent="0.25">
      <c r="A93" s="90"/>
      <c r="B93" s="76"/>
      <c r="C93" s="75"/>
      <c r="D93" s="80"/>
      <c r="E93" s="75"/>
      <c r="F93" s="75"/>
      <c r="G93" s="75"/>
      <c r="H93" s="75"/>
      <c r="I93" s="75"/>
      <c r="J93" s="87"/>
    </row>
    <row r="94" spans="1:11" ht="12.75" customHeight="1" thickBot="1" x14ac:dyDescent="0.25">
      <c r="A94" s="90"/>
      <c r="B94" s="74" t="s">
        <v>23</v>
      </c>
      <c r="C94" s="75"/>
      <c r="D94" s="582" t="s">
        <v>317</v>
      </c>
      <c r="E94" s="582"/>
      <c r="F94" s="582"/>
      <c r="G94" s="582"/>
      <c r="H94" s="582"/>
      <c r="I94" s="126"/>
      <c r="J94" s="127"/>
    </row>
    <row r="95" spans="1:11" ht="13.5" thickBot="1" x14ac:dyDescent="0.25">
      <c r="A95" s="90"/>
      <c r="B95" s="77"/>
      <c r="C95" s="75"/>
      <c r="D95" s="588" t="s">
        <v>632</v>
      </c>
      <c r="E95" s="589"/>
      <c r="F95" s="589"/>
      <c r="G95" s="589"/>
      <c r="H95" s="589"/>
      <c r="I95" s="590"/>
      <c r="J95" s="127"/>
    </row>
    <row r="96" spans="1:11" ht="12.75" customHeight="1" thickBot="1" x14ac:dyDescent="0.25">
      <c r="A96" s="90"/>
      <c r="B96" s="77"/>
      <c r="C96" s="75"/>
      <c r="D96" s="126"/>
      <c r="E96" s="126"/>
      <c r="F96" s="126"/>
      <c r="G96" s="126"/>
      <c r="H96" s="126"/>
      <c r="I96" s="126"/>
      <c r="J96" s="127"/>
    </row>
    <row r="97" spans="1:10" ht="12.75" customHeight="1" thickBot="1" x14ac:dyDescent="0.25">
      <c r="A97" s="90"/>
      <c r="B97" s="79" t="s">
        <v>23</v>
      </c>
      <c r="C97" s="75"/>
      <c r="D97" s="587" t="s">
        <v>318</v>
      </c>
      <c r="E97" s="587"/>
      <c r="F97" s="587"/>
      <c r="G97" s="587"/>
      <c r="H97" s="587"/>
      <c r="I97" s="78"/>
      <c r="J97" s="92"/>
    </row>
    <row r="98" spans="1:10" ht="13.5" thickBot="1" x14ac:dyDescent="0.25">
      <c r="A98" s="90"/>
      <c r="B98" s="77"/>
      <c r="C98" s="75"/>
      <c r="D98" s="588" t="s">
        <v>630</v>
      </c>
      <c r="E98" s="589"/>
      <c r="F98" s="589"/>
      <c r="G98" s="589"/>
      <c r="H98" s="589"/>
      <c r="I98" s="590"/>
      <c r="J98" s="127"/>
    </row>
    <row r="99" spans="1:10" ht="12.75" customHeight="1" thickBot="1" x14ac:dyDescent="0.25">
      <c r="A99" s="90"/>
      <c r="B99" s="77"/>
      <c r="C99" s="75"/>
      <c r="D99" s="126"/>
      <c r="E99" s="126"/>
      <c r="F99" s="126"/>
      <c r="G99" s="126"/>
      <c r="H99" s="126"/>
      <c r="I99" s="126"/>
      <c r="J99" s="127"/>
    </row>
    <row r="100" spans="1:10" ht="12.75" customHeight="1" thickBot="1" x14ac:dyDescent="0.25">
      <c r="A100" s="90"/>
      <c r="B100" s="79"/>
      <c r="C100" s="75"/>
      <c r="D100" s="582" t="s">
        <v>319</v>
      </c>
      <c r="E100" s="582"/>
      <c r="F100" s="582"/>
      <c r="G100" s="582"/>
      <c r="H100" s="582"/>
      <c r="I100" s="582"/>
      <c r="J100" s="127"/>
    </row>
    <row r="101" spans="1:10" ht="13.5" thickBot="1" x14ac:dyDescent="0.25">
      <c r="A101" s="90"/>
      <c r="B101" s="77"/>
      <c r="C101" s="75"/>
      <c r="D101" s="588"/>
      <c r="E101" s="589"/>
      <c r="F101" s="589"/>
      <c r="G101" s="589"/>
      <c r="H101" s="589"/>
      <c r="I101" s="590"/>
      <c r="J101" s="127"/>
    </row>
    <row r="102" spans="1:10" ht="13.5" thickBot="1" x14ac:dyDescent="0.25">
      <c r="A102" s="90"/>
      <c r="B102" s="76"/>
      <c r="C102" s="75"/>
      <c r="D102" s="80"/>
      <c r="E102" s="75"/>
      <c r="F102" s="75"/>
      <c r="G102" s="75"/>
      <c r="H102" s="75"/>
      <c r="I102" s="75"/>
      <c r="J102" s="87"/>
    </row>
    <row r="103" spans="1:10" ht="12.75" customHeight="1" thickBot="1" x14ac:dyDescent="0.25">
      <c r="A103" s="90"/>
      <c r="B103" s="74"/>
      <c r="C103" s="75"/>
      <c r="D103" s="582" t="s">
        <v>320</v>
      </c>
      <c r="E103" s="582"/>
      <c r="F103" s="582"/>
      <c r="G103" s="582"/>
      <c r="H103" s="582"/>
      <c r="I103" s="126"/>
      <c r="J103" s="127"/>
    </row>
    <row r="104" spans="1:10" ht="13.5" thickBot="1" x14ac:dyDescent="0.25">
      <c r="A104" s="90"/>
      <c r="B104" s="77"/>
      <c r="C104" s="75"/>
      <c r="D104" s="588"/>
      <c r="E104" s="589"/>
      <c r="F104" s="589"/>
      <c r="G104" s="589"/>
      <c r="H104" s="589"/>
      <c r="I104" s="590"/>
      <c r="J104" s="127"/>
    </row>
    <row r="105" spans="1:10" ht="13.5" thickBot="1" x14ac:dyDescent="0.25">
      <c r="A105" s="90"/>
      <c r="B105" s="77"/>
      <c r="C105" s="75"/>
      <c r="D105" s="126"/>
      <c r="E105" s="126"/>
      <c r="F105" s="126"/>
      <c r="G105" s="126"/>
      <c r="H105" s="126"/>
      <c r="I105" s="126"/>
      <c r="J105" s="127"/>
    </row>
    <row r="106" spans="1:10" ht="12.75" customHeight="1" thickBot="1" x14ac:dyDescent="0.25">
      <c r="A106" s="90"/>
      <c r="B106" s="79" t="s">
        <v>23</v>
      </c>
      <c r="C106" s="75"/>
      <c r="D106" s="582" t="s">
        <v>321</v>
      </c>
      <c r="E106" s="582"/>
      <c r="F106" s="582"/>
      <c r="G106" s="582"/>
      <c r="H106" s="582"/>
      <c r="I106" s="582"/>
      <c r="J106" s="127"/>
    </row>
    <row r="107" spans="1:10" ht="13.5" thickBot="1" x14ac:dyDescent="0.25">
      <c r="A107" s="90"/>
      <c r="B107" s="77"/>
      <c r="C107" s="75"/>
      <c r="D107" s="588" t="s">
        <v>631</v>
      </c>
      <c r="E107" s="589"/>
      <c r="F107" s="589"/>
      <c r="G107" s="589"/>
      <c r="H107" s="589"/>
      <c r="I107" s="590"/>
      <c r="J107" s="127"/>
    </row>
    <row r="108" spans="1:10" x14ac:dyDescent="0.2">
      <c r="A108" s="90"/>
      <c r="B108" s="76"/>
      <c r="C108" s="75"/>
      <c r="D108" s="80"/>
      <c r="E108" s="75"/>
      <c r="F108" s="75"/>
      <c r="G108" s="75"/>
      <c r="H108" s="75"/>
      <c r="I108" s="75"/>
      <c r="J108" s="87"/>
    </row>
    <row r="109" spans="1:10" x14ac:dyDescent="0.2">
      <c r="A109" s="90"/>
      <c r="B109" s="77"/>
      <c r="C109" s="75"/>
      <c r="D109" s="126"/>
      <c r="E109" s="126"/>
      <c r="F109" s="126"/>
      <c r="G109" s="126"/>
      <c r="H109" s="126"/>
      <c r="I109" s="126"/>
      <c r="J109" s="127"/>
    </row>
    <row r="110" spans="1:10" ht="12.75" customHeight="1" x14ac:dyDescent="0.2">
      <c r="A110" s="593" t="s">
        <v>315</v>
      </c>
      <c r="B110" s="594"/>
      <c r="C110" s="594"/>
      <c r="D110" s="594"/>
      <c r="E110" s="594"/>
      <c r="F110" s="594"/>
      <c r="G110" s="594"/>
      <c r="H110" s="594"/>
      <c r="I110" s="594"/>
      <c r="J110" s="595"/>
    </row>
    <row r="111" spans="1:10" ht="12.75" customHeight="1" x14ac:dyDescent="0.2">
      <c r="A111" s="596"/>
      <c r="B111" s="597"/>
      <c r="C111" s="597"/>
      <c r="D111" s="597"/>
      <c r="E111" s="597"/>
      <c r="F111" s="597"/>
      <c r="G111" s="597"/>
      <c r="H111" s="597"/>
      <c r="I111" s="597"/>
      <c r="J111" s="598"/>
    </row>
    <row r="112" spans="1:10" ht="12.75" customHeight="1" x14ac:dyDescent="0.2">
      <c r="A112" s="596"/>
      <c r="B112" s="597"/>
      <c r="C112" s="597"/>
      <c r="D112" s="597"/>
      <c r="E112" s="597"/>
      <c r="F112" s="597"/>
      <c r="G112" s="597"/>
      <c r="H112" s="597"/>
      <c r="I112" s="597"/>
      <c r="J112" s="598"/>
    </row>
    <row r="113" spans="1:10" ht="15" customHeight="1" x14ac:dyDescent="0.2">
      <c r="A113" s="599"/>
      <c r="B113" s="600"/>
      <c r="C113" s="600"/>
      <c r="D113" s="600"/>
      <c r="E113" s="600"/>
      <c r="F113" s="600"/>
      <c r="G113" s="600"/>
      <c r="H113" s="600"/>
      <c r="I113" s="600"/>
      <c r="J113" s="601"/>
    </row>
    <row r="114" spans="1:10" x14ac:dyDescent="0.2">
      <c r="A114" s="584" t="s">
        <v>633</v>
      </c>
      <c r="B114" s="585"/>
      <c r="C114" s="585"/>
      <c r="D114" s="585"/>
      <c r="E114" s="585"/>
      <c r="F114" s="585"/>
      <c r="G114" s="585"/>
      <c r="H114" s="585"/>
      <c r="I114" s="585"/>
      <c r="J114" s="609"/>
    </row>
    <row r="115" spans="1:10" x14ac:dyDescent="0.2">
      <c r="A115" s="584" t="s">
        <v>634</v>
      </c>
      <c r="B115" s="585"/>
      <c r="C115" s="585"/>
      <c r="D115" s="585"/>
      <c r="E115" s="585"/>
      <c r="F115" s="585"/>
      <c r="G115" s="585"/>
      <c r="H115" s="585"/>
      <c r="I115" s="585"/>
      <c r="J115" s="609"/>
    </row>
    <row r="116" spans="1:10" x14ac:dyDescent="0.2">
      <c r="A116" s="584"/>
      <c r="B116" s="585"/>
      <c r="C116" s="585"/>
      <c r="D116" s="585"/>
      <c r="E116" s="585"/>
      <c r="F116" s="585"/>
      <c r="G116" s="585"/>
      <c r="H116" s="585"/>
      <c r="I116" s="585"/>
      <c r="J116" s="609"/>
    </row>
    <row r="117" spans="1:10" x14ac:dyDescent="0.2">
      <c r="A117" s="584"/>
      <c r="B117" s="585"/>
      <c r="C117" s="585"/>
      <c r="D117" s="585"/>
      <c r="E117" s="585"/>
      <c r="F117" s="585"/>
      <c r="G117" s="585"/>
      <c r="H117" s="585"/>
      <c r="I117" s="585"/>
      <c r="J117" s="609"/>
    </row>
    <row r="118" spans="1:10" x14ac:dyDescent="0.2">
      <c r="A118" s="584"/>
      <c r="B118" s="585"/>
      <c r="C118" s="585"/>
      <c r="D118" s="585"/>
      <c r="E118" s="585"/>
      <c r="F118" s="585"/>
      <c r="G118" s="585"/>
      <c r="H118" s="585"/>
      <c r="I118" s="585"/>
      <c r="J118" s="609"/>
    </row>
    <row r="119" spans="1:10" x14ac:dyDescent="0.2">
      <c r="A119" s="584"/>
      <c r="B119" s="585"/>
      <c r="C119" s="585"/>
      <c r="D119" s="585"/>
      <c r="E119" s="585"/>
      <c r="F119" s="585"/>
      <c r="G119" s="585"/>
      <c r="H119" s="585"/>
      <c r="I119" s="585"/>
      <c r="J119" s="609"/>
    </row>
    <row r="120" spans="1:10" x14ac:dyDescent="0.2">
      <c r="A120" s="584"/>
      <c r="B120" s="585"/>
      <c r="C120" s="585"/>
      <c r="D120" s="585"/>
      <c r="E120" s="585"/>
      <c r="F120" s="585"/>
      <c r="G120" s="585"/>
      <c r="H120" s="585"/>
      <c r="I120" s="585"/>
      <c r="J120" s="609"/>
    </row>
    <row r="121" spans="1:10" x14ac:dyDescent="0.2">
      <c r="A121" s="584"/>
      <c r="B121" s="585"/>
      <c r="C121" s="585"/>
      <c r="D121" s="585"/>
      <c r="E121" s="585"/>
      <c r="F121" s="585"/>
      <c r="G121" s="585"/>
      <c r="H121" s="585"/>
      <c r="I121" s="585"/>
      <c r="J121" s="609"/>
    </row>
    <row r="122" spans="1:10" x14ac:dyDescent="0.2">
      <c r="A122" s="584"/>
      <c r="B122" s="585"/>
      <c r="C122" s="585"/>
      <c r="D122" s="585"/>
      <c r="E122" s="585"/>
      <c r="F122" s="585"/>
      <c r="G122" s="585"/>
      <c r="H122" s="585"/>
      <c r="I122" s="585"/>
      <c r="J122" s="609"/>
    </row>
    <row r="123" spans="1:10" x14ac:dyDescent="0.2">
      <c r="A123" s="584"/>
      <c r="B123" s="585"/>
      <c r="C123" s="585"/>
      <c r="D123" s="585"/>
      <c r="E123" s="585"/>
      <c r="F123" s="585"/>
      <c r="G123" s="585"/>
      <c r="H123" s="585"/>
      <c r="I123" s="585"/>
      <c r="J123" s="609"/>
    </row>
    <row r="124" spans="1:10" x14ac:dyDescent="0.2">
      <c r="A124" s="584"/>
      <c r="B124" s="585"/>
      <c r="C124" s="585"/>
      <c r="D124" s="585"/>
      <c r="E124" s="585"/>
      <c r="F124" s="585"/>
      <c r="G124" s="585"/>
      <c r="H124" s="585"/>
      <c r="I124" s="585"/>
      <c r="J124" s="609"/>
    </row>
    <row r="125" spans="1:10" x14ac:dyDescent="0.2">
      <c r="A125" s="584"/>
      <c r="B125" s="585"/>
      <c r="C125" s="585"/>
      <c r="D125" s="585"/>
      <c r="E125" s="585"/>
      <c r="F125" s="585"/>
      <c r="G125" s="585"/>
      <c r="H125" s="585"/>
      <c r="I125" s="585"/>
      <c r="J125" s="609"/>
    </row>
    <row r="126" spans="1:10" x14ac:dyDescent="0.2">
      <c r="A126" s="584"/>
      <c r="B126" s="585"/>
      <c r="C126" s="585"/>
      <c r="D126" s="585"/>
      <c r="E126" s="585"/>
      <c r="F126" s="585"/>
      <c r="G126" s="585"/>
      <c r="H126" s="585"/>
      <c r="I126" s="585"/>
      <c r="J126" s="609"/>
    </row>
    <row r="127" spans="1:10" x14ac:dyDescent="0.2">
      <c r="A127" s="584"/>
      <c r="B127" s="585"/>
      <c r="C127" s="585"/>
      <c r="D127" s="585"/>
      <c r="E127" s="585"/>
      <c r="F127" s="585"/>
      <c r="G127" s="585"/>
      <c r="H127" s="585"/>
      <c r="I127" s="585"/>
      <c r="J127" s="609"/>
    </row>
    <row r="128" spans="1:10" x14ac:dyDescent="0.2">
      <c r="A128" s="584"/>
      <c r="B128" s="585"/>
      <c r="C128" s="585"/>
      <c r="D128" s="585"/>
      <c r="E128" s="585"/>
      <c r="F128" s="585"/>
      <c r="G128" s="585"/>
      <c r="H128" s="585"/>
      <c r="I128" s="585"/>
      <c r="J128" s="609"/>
    </row>
    <row r="129" spans="1:10" x14ac:dyDescent="0.2">
      <c r="A129" s="584"/>
      <c r="B129" s="585"/>
      <c r="C129" s="585"/>
      <c r="D129" s="585"/>
      <c r="E129" s="585"/>
      <c r="F129" s="585"/>
      <c r="G129" s="585"/>
      <c r="H129" s="585"/>
      <c r="I129" s="585"/>
      <c r="J129" s="609"/>
    </row>
    <row r="130" spans="1:10" x14ac:dyDescent="0.2">
      <c r="A130" s="584"/>
      <c r="B130" s="585"/>
      <c r="C130" s="585"/>
      <c r="D130" s="585"/>
      <c r="E130" s="585"/>
      <c r="F130" s="585"/>
      <c r="G130" s="585"/>
      <c r="H130" s="585"/>
      <c r="I130" s="585"/>
      <c r="J130" s="609"/>
    </row>
    <row r="131" spans="1:10" x14ac:dyDescent="0.2">
      <c r="A131" s="584"/>
      <c r="B131" s="585"/>
      <c r="C131" s="585"/>
      <c r="D131" s="585"/>
      <c r="E131" s="585"/>
      <c r="F131" s="585"/>
      <c r="G131" s="585"/>
      <c r="H131" s="585"/>
      <c r="I131" s="585"/>
      <c r="J131" s="609"/>
    </row>
    <row r="132" spans="1:10" x14ac:dyDescent="0.2">
      <c r="A132" s="584"/>
      <c r="B132" s="585"/>
      <c r="C132" s="585"/>
      <c r="D132" s="585"/>
      <c r="E132" s="585"/>
      <c r="F132" s="585"/>
      <c r="G132" s="585"/>
      <c r="H132" s="585"/>
      <c r="I132" s="585"/>
      <c r="J132" s="609"/>
    </row>
    <row r="133" spans="1:10" x14ac:dyDescent="0.2">
      <c r="A133" s="584"/>
      <c r="B133" s="585"/>
      <c r="C133" s="585"/>
      <c r="D133" s="585"/>
      <c r="E133" s="585"/>
      <c r="F133" s="585"/>
      <c r="G133" s="585"/>
      <c r="H133" s="585"/>
      <c r="I133" s="585"/>
      <c r="J133" s="609"/>
    </row>
    <row r="134" spans="1:10" x14ac:dyDescent="0.2">
      <c r="A134" s="584"/>
      <c r="B134" s="585"/>
      <c r="C134" s="585"/>
      <c r="D134" s="585"/>
      <c r="E134" s="585"/>
      <c r="F134" s="585"/>
      <c r="G134" s="585"/>
      <c r="H134" s="585"/>
      <c r="I134" s="585"/>
      <c r="J134" s="609"/>
    </row>
    <row r="135" spans="1:10" x14ac:dyDescent="0.2">
      <c r="A135" s="584"/>
      <c r="B135" s="585"/>
      <c r="C135" s="585"/>
      <c r="D135" s="585"/>
      <c r="E135" s="585"/>
      <c r="F135" s="585"/>
      <c r="G135" s="585"/>
      <c r="H135" s="585"/>
      <c r="I135" s="585"/>
      <c r="J135" s="609"/>
    </row>
    <row r="136" spans="1:10" s="61" customFormat="1" x14ac:dyDescent="0.2">
      <c r="A136" s="55"/>
      <c r="B136" s="56"/>
      <c r="C136" s="57"/>
      <c r="D136" s="58"/>
      <c r="E136" s="58"/>
      <c r="F136" s="58"/>
      <c r="G136" s="58"/>
      <c r="H136" s="59"/>
      <c r="I136" s="57"/>
      <c r="J136" s="60"/>
    </row>
    <row r="137" spans="1:10" s="61" customFormat="1" ht="25.5" customHeight="1" x14ac:dyDescent="0.2">
      <c r="A137" s="602" t="s">
        <v>566</v>
      </c>
      <c r="B137" s="603"/>
      <c r="C137" s="603"/>
      <c r="D137" s="603"/>
      <c r="E137" s="603"/>
      <c r="F137" s="603"/>
      <c r="G137" s="603"/>
      <c r="H137" s="603"/>
      <c r="I137" s="603"/>
      <c r="J137" s="604"/>
    </row>
    <row r="138" spans="1:10" ht="12.75" customHeight="1" x14ac:dyDescent="0.2">
      <c r="A138" s="593" t="s">
        <v>350</v>
      </c>
      <c r="B138" s="594"/>
      <c r="C138" s="594"/>
      <c r="D138" s="594"/>
      <c r="E138" s="594"/>
      <c r="F138" s="594"/>
      <c r="G138" s="594"/>
      <c r="H138" s="594"/>
      <c r="I138" s="594"/>
      <c r="J138" s="595"/>
    </row>
    <row r="139" spans="1:10" ht="12.75" customHeight="1" x14ac:dyDescent="0.2">
      <c r="A139" s="596"/>
      <c r="B139" s="597"/>
      <c r="C139" s="597"/>
      <c r="D139" s="597"/>
      <c r="E139" s="597"/>
      <c r="F139" s="597"/>
      <c r="G139" s="597"/>
      <c r="H139" s="597"/>
      <c r="I139" s="597"/>
      <c r="J139" s="598"/>
    </row>
    <row r="140" spans="1:10" ht="12.75" customHeight="1" x14ac:dyDescent="0.2">
      <c r="A140" s="596"/>
      <c r="B140" s="597"/>
      <c r="C140" s="597"/>
      <c r="D140" s="597"/>
      <c r="E140" s="597"/>
      <c r="F140" s="597"/>
      <c r="G140" s="597"/>
      <c r="H140" s="597"/>
      <c r="I140" s="597"/>
      <c r="J140" s="598"/>
    </row>
    <row r="141" spans="1:10" ht="15" customHeight="1" x14ac:dyDescent="0.2">
      <c r="A141" s="599"/>
      <c r="B141" s="600"/>
      <c r="C141" s="600"/>
      <c r="D141" s="600"/>
      <c r="E141" s="600"/>
      <c r="F141" s="600"/>
      <c r="G141" s="600"/>
      <c r="H141" s="600"/>
      <c r="I141" s="600"/>
      <c r="J141" s="601"/>
    </row>
    <row r="142" spans="1:10" ht="12.75" customHeight="1" thickBot="1" x14ac:dyDescent="0.25">
      <c r="A142" s="90"/>
      <c r="B142" s="77"/>
      <c r="C142" s="75"/>
      <c r="D142" s="126"/>
      <c r="E142" s="126"/>
      <c r="F142" s="126"/>
      <c r="G142" s="126"/>
      <c r="H142" s="126"/>
      <c r="I142" s="126"/>
      <c r="J142" s="127"/>
    </row>
    <row r="143" spans="1:10" ht="13.5" customHeight="1" thickBot="1" x14ac:dyDescent="0.25">
      <c r="A143" s="90"/>
      <c r="B143" s="74"/>
      <c r="C143" s="75"/>
      <c r="D143" s="605" t="s">
        <v>323</v>
      </c>
      <c r="E143" s="605"/>
      <c r="F143" s="605"/>
      <c r="G143" s="605"/>
      <c r="H143" s="605"/>
      <c r="I143" s="605"/>
      <c r="J143" s="606"/>
    </row>
    <row r="144" spans="1:10" ht="13.5" customHeight="1" x14ac:dyDescent="0.2">
      <c r="A144" s="90"/>
      <c r="B144" s="77"/>
      <c r="C144" s="75"/>
      <c r="D144" s="605"/>
      <c r="E144" s="605"/>
      <c r="F144" s="605"/>
      <c r="G144" s="605"/>
      <c r="H144" s="605"/>
      <c r="I144" s="605"/>
      <c r="J144" s="606"/>
    </row>
    <row r="145" spans="1:11" ht="13.5" customHeight="1" x14ac:dyDescent="0.2">
      <c r="A145" s="90"/>
      <c r="B145" s="77"/>
      <c r="C145" s="75"/>
      <c r="D145" s="605"/>
      <c r="E145" s="605"/>
      <c r="F145" s="605"/>
      <c r="G145" s="605"/>
      <c r="H145" s="605"/>
      <c r="I145" s="605"/>
      <c r="J145" s="606"/>
    </row>
    <row r="146" spans="1:11" ht="13.5" customHeight="1" x14ac:dyDescent="0.2">
      <c r="A146" s="90"/>
      <c r="B146" s="77"/>
      <c r="C146" s="75"/>
      <c r="D146" s="605"/>
      <c r="E146" s="605"/>
      <c r="F146" s="605"/>
      <c r="G146" s="605"/>
      <c r="H146" s="605"/>
      <c r="I146" s="605"/>
      <c r="J146" s="606"/>
    </row>
    <row r="147" spans="1:11" ht="12.75" customHeight="1" x14ac:dyDescent="0.2">
      <c r="A147" s="90"/>
      <c r="B147" s="77"/>
      <c r="C147" s="75"/>
      <c r="D147" s="126"/>
      <c r="E147" s="126"/>
      <c r="F147" s="126"/>
      <c r="G147" s="126"/>
      <c r="H147" s="126"/>
      <c r="I147" s="126"/>
      <c r="J147" s="127"/>
    </row>
    <row r="148" spans="1:11" ht="12.75" customHeight="1" x14ac:dyDescent="0.2">
      <c r="A148" s="90"/>
      <c r="B148" s="77"/>
      <c r="C148" s="75"/>
      <c r="D148" s="126"/>
      <c r="E148" s="126"/>
      <c r="F148" s="126"/>
      <c r="G148" s="126"/>
      <c r="H148" s="126"/>
      <c r="I148" s="126"/>
      <c r="J148" s="127"/>
    </row>
    <row r="149" spans="1:11" ht="12.75" customHeight="1" x14ac:dyDescent="0.2">
      <c r="A149" s="90"/>
      <c r="B149" s="607" t="s">
        <v>325</v>
      </c>
      <c r="C149" s="607"/>
      <c r="D149" s="607"/>
      <c r="E149" s="607"/>
      <c r="F149" s="607"/>
      <c r="G149" s="607"/>
      <c r="H149" s="607"/>
      <c r="I149" s="607"/>
      <c r="J149" s="608"/>
      <c r="K149" s="98"/>
    </row>
    <row r="150" spans="1:11" ht="12.75" customHeight="1" x14ac:dyDescent="0.2">
      <c r="A150" s="90"/>
      <c r="B150" s="607"/>
      <c r="C150" s="607"/>
      <c r="D150" s="607"/>
      <c r="E150" s="607"/>
      <c r="F150" s="607"/>
      <c r="G150" s="607"/>
      <c r="H150" s="607"/>
      <c r="I150" s="607"/>
      <c r="J150" s="608"/>
      <c r="K150" s="114"/>
    </row>
    <row r="151" spans="1:11" ht="12.75" customHeight="1" x14ac:dyDescent="0.2">
      <c r="A151" s="90"/>
      <c r="B151" s="607"/>
      <c r="C151" s="607"/>
      <c r="D151" s="607"/>
      <c r="E151" s="607"/>
      <c r="F151" s="607"/>
      <c r="G151" s="607"/>
      <c r="H151" s="607"/>
      <c r="I151" s="607"/>
      <c r="J151" s="608"/>
      <c r="K151" s="114"/>
    </row>
    <row r="152" spans="1:11" ht="12.75" customHeight="1" thickBot="1" x14ac:dyDescent="0.25">
      <c r="A152" s="90"/>
      <c r="B152" s="128"/>
      <c r="C152" s="128"/>
      <c r="D152" s="128"/>
      <c r="E152" s="128"/>
      <c r="F152" s="128"/>
      <c r="G152" s="128"/>
      <c r="H152" s="128"/>
      <c r="I152" s="128"/>
      <c r="J152" s="87"/>
      <c r="K152" s="114"/>
    </row>
    <row r="153" spans="1:11" ht="12.75" customHeight="1" thickBot="1" x14ac:dyDescent="0.25">
      <c r="A153" s="90"/>
      <c r="B153" s="79"/>
      <c r="C153" s="75"/>
      <c r="D153" s="582" t="s">
        <v>326</v>
      </c>
      <c r="E153" s="582"/>
      <c r="F153" s="582"/>
      <c r="G153" s="582"/>
      <c r="H153" s="582"/>
      <c r="I153" s="582"/>
      <c r="J153" s="127"/>
    </row>
    <row r="154" spans="1:11" ht="12.75" customHeight="1" thickBot="1" x14ac:dyDescent="0.25">
      <c r="A154" s="90"/>
      <c r="B154" s="76"/>
      <c r="C154" s="75"/>
      <c r="D154" s="80"/>
      <c r="E154" s="75"/>
      <c r="F154" s="75"/>
      <c r="G154" s="75"/>
      <c r="H154" s="75"/>
      <c r="I154" s="75"/>
      <c r="J154" s="87"/>
    </row>
    <row r="155" spans="1:11" ht="12.75" customHeight="1" thickBot="1" x14ac:dyDescent="0.25">
      <c r="A155" s="90"/>
      <c r="B155" s="74"/>
      <c r="C155" s="75"/>
      <c r="D155" s="582" t="s">
        <v>327</v>
      </c>
      <c r="E155" s="582"/>
      <c r="F155" s="582"/>
      <c r="G155" s="582"/>
      <c r="H155" s="582"/>
      <c r="I155" s="126"/>
      <c r="J155" s="127"/>
    </row>
    <row r="156" spans="1:11" ht="12.75" customHeight="1" thickBot="1" x14ac:dyDescent="0.25">
      <c r="A156" s="90"/>
      <c r="B156" s="77"/>
      <c r="C156" s="75"/>
      <c r="D156" s="126"/>
      <c r="E156" s="126"/>
      <c r="F156" s="126"/>
      <c r="G156" s="126"/>
      <c r="H156" s="126"/>
      <c r="I156" s="126"/>
      <c r="J156" s="127"/>
    </row>
    <row r="157" spans="1:11" ht="12.75" customHeight="1" thickBot="1" x14ac:dyDescent="0.25">
      <c r="A157" s="90"/>
      <c r="B157" s="79"/>
      <c r="C157" s="75"/>
      <c r="D157" s="587" t="s">
        <v>328</v>
      </c>
      <c r="E157" s="587"/>
      <c r="F157" s="587"/>
      <c r="G157" s="587"/>
      <c r="H157" s="587"/>
      <c r="I157" s="78"/>
      <c r="J157" s="92"/>
    </row>
    <row r="158" spans="1:11" ht="12.75" customHeight="1" thickBot="1" x14ac:dyDescent="0.25">
      <c r="A158" s="90"/>
      <c r="B158" s="77"/>
      <c r="C158" s="75"/>
      <c r="D158" s="126"/>
      <c r="E158" s="126"/>
      <c r="F158" s="126"/>
      <c r="G158" s="126"/>
      <c r="H158" s="126"/>
      <c r="I158" s="126"/>
      <c r="J158" s="127"/>
    </row>
    <row r="159" spans="1:11" ht="12.75" customHeight="1" thickBot="1" x14ac:dyDescent="0.25">
      <c r="A159" s="90"/>
      <c r="B159" s="79"/>
      <c r="C159" s="75"/>
      <c r="D159" s="582" t="s">
        <v>329</v>
      </c>
      <c r="E159" s="582"/>
      <c r="F159" s="582"/>
      <c r="G159" s="582"/>
      <c r="H159" s="582"/>
      <c r="I159" s="582"/>
      <c r="J159" s="127"/>
    </row>
    <row r="160" spans="1:11" ht="13.5" thickBot="1" x14ac:dyDescent="0.25">
      <c r="A160" s="90"/>
      <c r="B160" s="76"/>
      <c r="C160" s="75"/>
      <c r="D160" s="80"/>
      <c r="E160" s="75"/>
      <c r="F160" s="75"/>
      <c r="G160" s="75"/>
      <c r="H160" s="75"/>
      <c r="I160" s="75"/>
      <c r="J160" s="87"/>
    </row>
    <row r="161" spans="1:10" ht="12.75" customHeight="1" thickBot="1" x14ac:dyDescent="0.25">
      <c r="A161" s="90"/>
      <c r="B161" s="74"/>
      <c r="C161" s="75"/>
      <c r="D161" s="582" t="s">
        <v>330</v>
      </c>
      <c r="E161" s="582"/>
      <c r="F161" s="582"/>
      <c r="G161" s="582"/>
      <c r="H161" s="582"/>
      <c r="I161" s="126"/>
      <c r="J161" s="127"/>
    </row>
    <row r="162" spans="1:10" ht="13.5" thickBot="1" x14ac:dyDescent="0.25">
      <c r="A162" s="90"/>
      <c r="B162" s="77"/>
      <c r="C162" s="75"/>
      <c r="D162" s="126"/>
      <c r="E162" s="126"/>
      <c r="F162" s="126"/>
      <c r="G162" s="126"/>
      <c r="H162" s="126"/>
      <c r="I162" s="126"/>
      <c r="J162" s="127"/>
    </row>
    <row r="163" spans="1:10" ht="12.75" customHeight="1" thickBot="1" x14ac:dyDescent="0.25">
      <c r="A163" s="90"/>
      <c r="B163" s="79"/>
      <c r="C163" s="75"/>
      <c r="D163" s="582" t="s">
        <v>321</v>
      </c>
      <c r="E163" s="582"/>
      <c r="F163" s="582"/>
      <c r="G163" s="582"/>
      <c r="H163" s="582"/>
      <c r="I163" s="582"/>
      <c r="J163" s="127"/>
    </row>
    <row r="164" spans="1:10" ht="13.5" thickBot="1" x14ac:dyDescent="0.25">
      <c r="A164" s="90"/>
      <c r="B164" s="77"/>
      <c r="C164" s="75"/>
      <c r="D164" s="588"/>
      <c r="E164" s="589"/>
      <c r="F164" s="589"/>
      <c r="G164" s="589"/>
      <c r="H164" s="589"/>
      <c r="I164" s="590"/>
      <c r="J164" s="127"/>
    </row>
    <row r="165" spans="1:10" x14ac:dyDescent="0.2">
      <c r="A165" s="90"/>
      <c r="B165" s="76"/>
      <c r="C165" s="75"/>
      <c r="D165" s="80"/>
      <c r="E165" s="75"/>
      <c r="F165" s="75"/>
      <c r="G165" s="75"/>
      <c r="H165" s="75"/>
      <c r="I165" s="75"/>
      <c r="J165" s="87"/>
    </row>
    <row r="166" spans="1:10" x14ac:dyDescent="0.2">
      <c r="A166" s="90"/>
      <c r="B166" s="77"/>
      <c r="C166" s="75"/>
      <c r="D166" s="126"/>
      <c r="E166" s="126"/>
      <c r="F166" s="126"/>
      <c r="G166" s="126"/>
      <c r="H166" s="126"/>
      <c r="I166" s="126"/>
      <c r="J166" s="127"/>
    </row>
    <row r="167" spans="1:10" ht="12.75" customHeight="1" x14ac:dyDescent="0.2">
      <c r="A167" s="593" t="s">
        <v>314</v>
      </c>
      <c r="B167" s="594"/>
      <c r="C167" s="594"/>
      <c r="D167" s="594"/>
      <c r="E167" s="594"/>
      <c r="F167" s="594"/>
      <c r="G167" s="594"/>
      <c r="H167" s="594"/>
      <c r="I167" s="594"/>
      <c r="J167" s="595"/>
    </row>
    <row r="168" spans="1:10" ht="12.75" customHeight="1" x14ac:dyDescent="0.2">
      <c r="A168" s="596"/>
      <c r="B168" s="597"/>
      <c r="C168" s="597"/>
      <c r="D168" s="597"/>
      <c r="E168" s="597"/>
      <c r="F168" s="597"/>
      <c r="G168" s="597"/>
      <c r="H168" s="597"/>
      <c r="I168" s="597"/>
      <c r="J168" s="598"/>
    </row>
    <row r="169" spans="1:10" ht="12.75" customHeight="1" x14ac:dyDescent="0.2">
      <c r="A169" s="596"/>
      <c r="B169" s="597"/>
      <c r="C169" s="597"/>
      <c r="D169" s="597"/>
      <c r="E169" s="597"/>
      <c r="F169" s="597"/>
      <c r="G169" s="597"/>
      <c r="H169" s="597"/>
      <c r="I169" s="597"/>
      <c r="J169" s="598"/>
    </row>
    <row r="170" spans="1:10" ht="15" customHeight="1" x14ac:dyDescent="0.2">
      <c r="A170" s="599"/>
      <c r="B170" s="600"/>
      <c r="C170" s="600"/>
      <c r="D170" s="600"/>
      <c r="E170" s="600"/>
      <c r="F170" s="600"/>
      <c r="G170" s="600"/>
      <c r="H170" s="600"/>
      <c r="I170" s="600"/>
      <c r="J170" s="601"/>
    </row>
    <row r="171" spans="1:10" x14ac:dyDescent="0.2">
      <c r="A171" s="584"/>
      <c r="B171" s="585"/>
      <c r="C171" s="585"/>
      <c r="D171" s="585"/>
      <c r="E171" s="585"/>
      <c r="F171" s="585"/>
      <c r="G171" s="585"/>
      <c r="H171" s="585"/>
      <c r="I171" s="585"/>
      <c r="J171" s="609"/>
    </row>
    <row r="172" spans="1:10" x14ac:dyDescent="0.2">
      <c r="A172" s="584"/>
      <c r="B172" s="585"/>
      <c r="C172" s="585"/>
      <c r="D172" s="585"/>
      <c r="E172" s="585"/>
      <c r="F172" s="585"/>
      <c r="G172" s="585"/>
      <c r="H172" s="585"/>
      <c r="I172" s="585"/>
      <c r="J172" s="609"/>
    </row>
    <row r="173" spans="1:10" ht="12.75" customHeight="1" x14ac:dyDescent="0.2">
      <c r="A173" s="593" t="s">
        <v>324</v>
      </c>
      <c r="B173" s="594"/>
      <c r="C173" s="594"/>
      <c r="D173" s="594"/>
      <c r="E173" s="594"/>
      <c r="F173" s="594"/>
      <c r="G173" s="594"/>
      <c r="H173" s="594"/>
      <c r="I173" s="594"/>
      <c r="J173" s="595"/>
    </row>
    <row r="174" spans="1:10" ht="12.75" customHeight="1" x14ac:dyDescent="0.2">
      <c r="A174" s="596"/>
      <c r="B174" s="597"/>
      <c r="C174" s="597"/>
      <c r="D174" s="597"/>
      <c r="E174" s="597"/>
      <c r="F174" s="597"/>
      <c r="G174" s="597"/>
      <c r="H174" s="597"/>
      <c r="I174" s="597"/>
      <c r="J174" s="598"/>
    </row>
    <row r="175" spans="1:10" ht="12.75" customHeight="1" x14ac:dyDescent="0.2">
      <c r="A175" s="596"/>
      <c r="B175" s="597"/>
      <c r="C175" s="597"/>
      <c r="D175" s="597"/>
      <c r="E175" s="597"/>
      <c r="F175" s="597"/>
      <c r="G175" s="597"/>
      <c r="H175" s="597"/>
      <c r="I175" s="597"/>
      <c r="J175" s="598"/>
    </row>
    <row r="176" spans="1:10" ht="15" customHeight="1" x14ac:dyDescent="0.2">
      <c r="A176" s="599"/>
      <c r="B176" s="600"/>
      <c r="C176" s="600"/>
      <c r="D176" s="600"/>
      <c r="E176" s="600"/>
      <c r="F176" s="600"/>
      <c r="G176" s="600"/>
      <c r="H176" s="600"/>
      <c r="I176" s="600"/>
      <c r="J176" s="601"/>
    </row>
    <row r="177" spans="1:10" ht="12.75" customHeight="1" x14ac:dyDescent="0.2">
      <c r="A177" s="610"/>
      <c r="B177" s="611"/>
      <c r="C177" s="611"/>
      <c r="D177" s="611"/>
      <c r="E177" s="611"/>
      <c r="F177" s="611"/>
      <c r="G177" s="611"/>
      <c r="H177" s="611"/>
      <c r="I177" s="611"/>
      <c r="J177" s="612"/>
    </row>
    <row r="178" spans="1:10" ht="12.75" customHeight="1" x14ac:dyDescent="0.2">
      <c r="A178" s="610"/>
      <c r="B178" s="611"/>
      <c r="C178" s="611"/>
      <c r="D178" s="611"/>
      <c r="E178" s="611"/>
      <c r="F178" s="611"/>
      <c r="G178" s="611"/>
      <c r="H178" s="611"/>
      <c r="I178" s="611"/>
      <c r="J178" s="612"/>
    </row>
    <row r="179" spans="1:10" ht="12.75" customHeight="1" x14ac:dyDescent="0.2">
      <c r="A179" s="610"/>
      <c r="B179" s="611"/>
      <c r="C179" s="611"/>
      <c r="D179" s="611"/>
      <c r="E179" s="611"/>
      <c r="F179" s="611"/>
      <c r="G179" s="611"/>
      <c r="H179" s="611"/>
      <c r="I179" s="611"/>
      <c r="J179" s="612"/>
    </row>
    <row r="180" spans="1:10" ht="12.75" customHeight="1" x14ac:dyDescent="0.2">
      <c r="A180" s="610"/>
      <c r="B180" s="611"/>
      <c r="C180" s="611"/>
      <c r="D180" s="611"/>
      <c r="E180" s="611"/>
      <c r="F180" s="611"/>
      <c r="G180" s="611"/>
      <c r="H180" s="611"/>
      <c r="I180" s="611"/>
      <c r="J180" s="612"/>
    </row>
    <row r="181" spans="1:10" ht="12.75" customHeight="1" x14ac:dyDescent="0.2">
      <c r="A181" s="610"/>
      <c r="B181" s="611"/>
      <c r="C181" s="611"/>
      <c r="D181" s="611"/>
      <c r="E181" s="611"/>
      <c r="F181" s="611"/>
      <c r="G181" s="611"/>
      <c r="H181" s="611"/>
      <c r="I181" s="611"/>
      <c r="J181" s="612"/>
    </row>
    <row r="182" spans="1:10" ht="12.75" customHeight="1" x14ac:dyDescent="0.2">
      <c r="A182" s="610"/>
      <c r="B182" s="611"/>
      <c r="C182" s="611"/>
      <c r="D182" s="611"/>
      <c r="E182" s="611"/>
      <c r="F182" s="611"/>
      <c r="G182" s="611"/>
      <c r="H182" s="611"/>
      <c r="I182" s="611"/>
      <c r="J182" s="612"/>
    </row>
    <row r="183" spans="1:10" ht="12.75" customHeight="1" x14ac:dyDescent="0.2">
      <c r="A183" s="610"/>
      <c r="B183" s="611"/>
      <c r="C183" s="611"/>
      <c r="D183" s="611"/>
      <c r="E183" s="611"/>
      <c r="F183" s="611"/>
      <c r="G183" s="611"/>
      <c r="H183" s="611"/>
      <c r="I183" s="611"/>
      <c r="J183" s="612"/>
    </row>
    <row r="184" spans="1:10" ht="12.75" customHeight="1" x14ac:dyDescent="0.2">
      <c r="A184" s="610"/>
      <c r="B184" s="611"/>
      <c r="C184" s="611"/>
      <c r="D184" s="611"/>
      <c r="E184" s="611"/>
      <c r="F184" s="611"/>
      <c r="G184" s="611"/>
      <c r="H184" s="611"/>
      <c r="I184" s="611"/>
      <c r="J184" s="612"/>
    </row>
    <row r="185" spans="1:10" ht="12.75" customHeight="1" x14ac:dyDescent="0.2">
      <c r="A185" s="610"/>
      <c r="B185" s="611"/>
      <c r="C185" s="611"/>
      <c r="D185" s="611"/>
      <c r="E185" s="611"/>
      <c r="F185" s="611"/>
      <c r="G185" s="611"/>
      <c r="H185" s="611"/>
      <c r="I185" s="611"/>
      <c r="J185" s="612"/>
    </row>
    <row r="186" spans="1:10" ht="12.75" customHeight="1" x14ac:dyDescent="0.2">
      <c r="A186" s="610"/>
      <c r="B186" s="611"/>
      <c r="C186" s="611"/>
      <c r="D186" s="611"/>
      <c r="E186" s="611"/>
      <c r="F186" s="611"/>
      <c r="G186" s="611"/>
      <c r="H186" s="611"/>
      <c r="I186" s="611"/>
      <c r="J186" s="612"/>
    </row>
    <row r="187" spans="1:10" ht="12.75" customHeight="1" x14ac:dyDescent="0.2">
      <c r="A187" s="610"/>
      <c r="B187" s="611"/>
      <c r="C187" s="611"/>
      <c r="D187" s="611"/>
      <c r="E187" s="611"/>
      <c r="F187" s="611"/>
      <c r="G187" s="611"/>
      <c r="H187" s="611"/>
      <c r="I187" s="611"/>
      <c r="J187" s="612"/>
    </row>
    <row r="188" spans="1:10" ht="12.75" customHeight="1" x14ac:dyDescent="0.2">
      <c r="A188" s="610"/>
      <c r="B188" s="611"/>
      <c r="C188" s="611"/>
      <c r="D188" s="611"/>
      <c r="E188" s="611"/>
      <c r="F188" s="611"/>
      <c r="G188" s="611"/>
      <c r="H188" s="611"/>
      <c r="I188" s="611"/>
      <c r="J188" s="612"/>
    </row>
    <row r="189" spans="1:10" ht="12.75" customHeight="1" x14ac:dyDescent="0.2">
      <c r="A189" s="610"/>
      <c r="B189" s="611"/>
      <c r="C189" s="611"/>
      <c r="D189" s="611"/>
      <c r="E189" s="611"/>
      <c r="F189" s="611"/>
      <c r="G189" s="611"/>
      <c r="H189" s="611"/>
      <c r="I189" s="611"/>
      <c r="J189" s="612"/>
    </row>
    <row r="190" spans="1:10" ht="12.75" customHeight="1" x14ac:dyDescent="0.2">
      <c r="A190" s="610"/>
      <c r="B190" s="611"/>
      <c r="C190" s="611"/>
      <c r="D190" s="611"/>
      <c r="E190" s="611"/>
      <c r="F190" s="611"/>
      <c r="G190" s="611"/>
      <c r="H190" s="611"/>
      <c r="I190" s="611"/>
      <c r="J190" s="612"/>
    </row>
    <row r="191" spans="1:10" ht="12.75" customHeight="1" x14ac:dyDescent="0.2">
      <c r="A191" s="610"/>
      <c r="B191" s="611"/>
      <c r="C191" s="611"/>
      <c r="D191" s="611"/>
      <c r="E191" s="611"/>
      <c r="F191" s="611"/>
      <c r="G191" s="611"/>
      <c r="H191" s="611"/>
      <c r="I191" s="611"/>
      <c r="J191" s="612"/>
    </row>
    <row r="192" spans="1:10" ht="12.75" customHeight="1" x14ac:dyDescent="0.2">
      <c r="A192" s="610"/>
      <c r="B192" s="611"/>
      <c r="C192" s="611"/>
      <c r="D192" s="611"/>
      <c r="E192" s="611"/>
      <c r="F192" s="611"/>
      <c r="G192" s="611"/>
      <c r="H192" s="611"/>
      <c r="I192" s="611"/>
      <c r="J192" s="612"/>
    </row>
    <row r="193" spans="1:10" ht="12.75" customHeight="1" x14ac:dyDescent="0.2">
      <c r="A193" s="610"/>
      <c r="B193" s="611"/>
      <c r="C193" s="611"/>
      <c r="D193" s="611"/>
      <c r="E193" s="611"/>
      <c r="F193" s="611"/>
      <c r="G193" s="611"/>
      <c r="H193" s="611"/>
      <c r="I193" s="611"/>
      <c r="J193" s="612"/>
    </row>
    <row r="194" spans="1:10" ht="12.75" customHeight="1" x14ac:dyDescent="0.2">
      <c r="A194" s="596" t="s">
        <v>351</v>
      </c>
      <c r="B194" s="597"/>
      <c r="C194" s="597"/>
      <c r="D194" s="597"/>
      <c r="E194" s="597"/>
      <c r="F194" s="597"/>
      <c r="G194" s="597"/>
      <c r="H194" s="597"/>
      <c r="I194" s="597"/>
      <c r="J194" s="598"/>
    </row>
    <row r="195" spans="1:10" ht="12.75" customHeight="1" x14ac:dyDescent="0.2">
      <c r="A195" s="596"/>
      <c r="B195" s="597"/>
      <c r="C195" s="597"/>
      <c r="D195" s="597"/>
      <c r="E195" s="597"/>
      <c r="F195" s="597"/>
      <c r="G195" s="597"/>
      <c r="H195" s="597"/>
      <c r="I195" s="597"/>
      <c r="J195" s="598"/>
    </row>
    <row r="196" spans="1:10" ht="12.75" customHeight="1" x14ac:dyDescent="0.2">
      <c r="A196" s="596"/>
      <c r="B196" s="597"/>
      <c r="C196" s="597"/>
      <c r="D196" s="597"/>
      <c r="E196" s="597"/>
      <c r="F196" s="597"/>
      <c r="G196" s="597"/>
      <c r="H196" s="597"/>
      <c r="I196" s="597"/>
      <c r="J196" s="598"/>
    </row>
    <row r="197" spans="1:10" ht="15" customHeight="1" x14ac:dyDescent="0.2">
      <c r="A197" s="599"/>
      <c r="B197" s="600"/>
      <c r="C197" s="600"/>
      <c r="D197" s="600"/>
      <c r="E197" s="600"/>
      <c r="F197" s="600"/>
      <c r="G197" s="600"/>
      <c r="H197" s="600"/>
      <c r="I197" s="600"/>
      <c r="J197" s="601"/>
    </row>
    <row r="198" spans="1:10" ht="12.75" customHeight="1" x14ac:dyDescent="0.2">
      <c r="A198" s="610"/>
      <c r="B198" s="611"/>
      <c r="C198" s="611"/>
      <c r="D198" s="611"/>
      <c r="E198" s="611"/>
      <c r="F198" s="611"/>
      <c r="G198" s="611"/>
      <c r="H198" s="611"/>
      <c r="I198" s="611"/>
      <c r="J198" s="612"/>
    </row>
    <row r="199" spans="1:10" ht="12.75" customHeight="1" x14ac:dyDescent="0.2">
      <c r="A199" s="610"/>
      <c r="B199" s="611"/>
      <c r="C199" s="611"/>
      <c r="D199" s="611"/>
      <c r="E199" s="611"/>
      <c r="F199" s="611"/>
      <c r="G199" s="611"/>
      <c r="H199" s="611"/>
      <c r="I199" s="611"/>
      <c r="J199" s="612"/>
    </row>
    <row r="200" spans="1:10" ht="12.75" customHeight="1" x14ac:dyDescent="0.2">
      <c r="A200" s="610"/>
      <c r="B200" s="611"/>
      <c r="C200" s="611"/>
      <c r="D200" s="611"/>
      <c r="E200" s="611"/>
      <c r="F200" s="611"/>
      <c r="G200" s="611"/>
      <c r="H200" s="611"/>
      <c r="I200" s="611"/>
      <c r="J200" s="612"/>
    </row>
    <row r="201" spans="1:10" ht="12.75" customHeight="1" x14ac:dyDescent="0.2">
      <c r="A201" s="610"/>
      <c r="B201" s="611"/>
      <c r="C201" s="611"/>
      <c r="D201" s="611"/>
      <c r="E201" s="611"/>
      <c r="F201" s="611"/>
      <c r="G201" s="611"/>
      <c r="H201" s="611"/>
      <c r="I201" s="611"/>
      <c r="J201" s="612"/>
    </row>
    <row r="202" spans="1:10" ht="12.75" customHeight="1" x14ac:dyDescent="0.2">
      <c r="A202" s="610"/>
      <c r="B202" s="611"/>
      <c r="C202" s="611"/>
      <c r="D202" s="611"/>
      <c r="E202" s="611"/>
      <c r="F202" s="611"/>
      <c r="G202" s="611"/>
      <c r="H202" s="611"/>
      <c r="I202" s="611"/>
      <c r="J202" s="612"/>
    </row>
    <row r="203" spans="1:10" ht="12.75" customHeight="1" x14ac:dyDescent="0.2">
      <c r="A203" s="610"/>
      <c r="B203" s="611"/>
      <c r="C203" s="611"/>
      <c r="D203" s="611"/>
      <c r="E203" s="611"/>
      <c r="F203" s="611"/>
      <c r="G203" s="611"/>
      <c r="H203" s="611"/>
      <c r="I203" s="611"/>
      <c r="J203" s="612"/>
    </row>
    <row r="204" spans="1:10" ht="12.75" customHeight="1" x14ac:dyDescent="0.2">
      <c r="A204" s="610"/>
      <c r="B204" s="611"/>
      <c r="C204" s="611"/>
      <c r="D204" s="611"/>
      <c r="E204" s="611"/>
      <c r="F204" s="611"/>
      <c r="G204" s="611"/>
      <c r="H204" s="611"/>
      <c r="I204" s="611"/>
      <c r="J204" s="612"/>
    </row>
    <row r="205" spans="1:10" ht="12.75" customHeight="1" x14ac:dyDescent="0.2">
      <c r="A205" s="610"/>
      <c r="B205" s="611"/>
      <c r="C205" s="611"/>
      <c r="D205" s="611"/>
      <c r="E205" s="611"/>
      <c r="F205" s="611"/>
      <c r="G205" s="611"/>
      <c r="H205" s="611"/>
      <c r="I205" s="611"/>
      <c r="J205" s="612"/>
    </row>
    <row r="206" spans="1:10" ht="12.75" customHeight="1" x14ac:dyDescent="0.2">
      <c r="A206" s="610"/>
      <c r="B206" s="611"/>
      <c r="C206" s="611"/>
      <c r="D206" s="611"/>
      <c r="E206" s="611"/>
      <c r="F206" s="611"/>
      <c r="G206" s="611"/>
      <c r="H206" s="611"/>
      <c r="I206" s="611"/>
      <c r="J206" s="612"/>
    </row>
    <row r="207" spans="1:10" ht="12.75" customHeight="1" x14ac:dyDescent="0.2">
      <c r="A207" s="610"/>
      <c r="B207" s="611"/>
      <c r="C207" s="611"/>
      <c r="D207" s="611"/>
      <c r="E207" s="611"/>
      <c r="F207" s="611"/>
      <c r="G207" s="611"/>
      <c r="H207" s="611"/>
      <c r="I207" s="611"/>
      <c r="J207" s="612"/>
    </row>
    <row r="208" spans="1:10" ht="12.75" customHeight="1" x14ac:dyDescent="0.2">
      <c r="A208" s="610"/>
      <c r="B208" s="611"/>
      <c r="C208" s="611"/>
      <c r="D208" s="611"/>
      <c r="E208" s="611"/>
      <c r="F208" s="611"/>
      <c r="G208" s="611"/>
      <c r="H208" s="611"/>
      <c r="I208" s="611"/>
      <c r="J208" s="612"/>
    </row>
    <row r="209" spans="1:10" ht="12.75" customHeight="1" x14ac:dyDescent="0.2">
      <c r="A209" s="610"/>
      <c r="B209" s="611"/>
      <c r="C209" s="611"/>
      <c r="D209" s="611"/>
      <c r="E209" s="611"/>
      <c r="F209" s="611"/>
      <c r="G209" s="611"/>
      <c r="H209" s="611"/>
      <c r="I209" s="611"/>
      <c r="J209" s="612"/>
    </row>
    <row r="210" spans="1:10" ht="12.75" customHeight="1" x14ac:dyDescent="0.2">
      <c r="A210" s="610"/>
      <c r="B210" s="611"/>
      <c r="C210" s="611"/>
      <c r="D210" s="611"/>
      <c r="E210" s="611"/>
      <c r="F210" s="611"/>
      <c r="G210" s="611"/>
      <c r="H210" s="611"/>
      <c r="I210" s="611"/>
      <c r="J210" s="612"/>
    </row>
    <row r="211" spans="1:10" ht="12.75" customHeight="1" x14ac:dyDescent="0.2">
      <c r="A211" s="610"/>
      <c r="B211" s="611"/>
      <c r="C211" s="611"/>
      <c r="D211" s="611"/>
      <c r="E211" s="611"/>
      <c r="F211" s="611"/>
      <c r="G211" s="611"/>
      <c r="H211" s="611"/>
      <c r="I211" s="611"/>
      <c r="J211" s="612"/>
    </row>
    <row r="212" spans="1:10" ht="12.75" customHeight="1" x14ac:dyDescent="0.2">
      <c r="A212" s="610"/>
      <c r="B212" s="611"/>
      <c r="C212" s="611"/>
      <c r="D212" s="611"/>
      <c r="E212" s="611"/>
      <c r="F212" s="611"/>
      <c r="G212" s="611"/>
      <c r="H212" s="611"/>
      <c r="I212" s="611"/>
      <c r="J212" s="612"/>
    </row>
    <row r="213" spans="1:10" ht="12.75" customHeight="1" x14ac:dyDescent="0.2">
      <c r="A213" s="610"/>
      <c r="B213" s="611"/>
      <c r="C213" s="611"/>
      <c r="D213" s="611"/>
      <c r="E213" s="611"/>
      <c r="F213" s="611"/>
      <c r="G213" s="611"/>
      <c r="H213" s="611"/>
      <c r="I213" s="611"/>
      <c r="J213" s="612"/>
    </row>
    <row r="214" spans="1:10" ht="12.75" customHeight="1" x14ac:dyDescent="0.2">
      <c r="A214" s="610"/>
      <c r="B214" s="611"/>
      <c r="C214" s="611"/>
      <c r="D214" s="611"/>
      <c r="E214" s="611"/>
      <c r="F214" s="611"/>
      <c r="G214" s="611"/>
      <c r="H214" s="611"/>
      <c r="I214" s="611"/>
      <c r="J214" s="612"/>
    </row>
    <row r="215" spans="1:10" s="61" customFormat="1" x14ac:dyDescent="0.2">
      <c r="A215" s="55"/>
      <c r="B215" s="56"/>
      <c r="C215" s="57"/>
      <c r="D215" s="58"/>
      <c r="E215" s="58"/>
      <c r="F215" s="58"/>
      <c r="G215" s="58"/>
      <c r="H215" s="59"/>
      <c r="I215" s="57"/>
      <c r="J215" s="60"/>
    </row>
    <row r="216" spans="1:10" s="61" customFormat="1" ht="25.5" customHeight="1" x14ac:dyDescent="0.2">
      <c r="A216" s="602" t="s">
        <v>302</v>
      </c>
      <c r="B216" s="603"/>
      <c r="C216" s="603"/>
      <c r="D216" s="603"/>
      <c r="E216" s="603"/>
      <c r="F216" s="603"/>
      <c r="G216" s="603"/>
      <c r="H216" s="603"/>
      <c r="I216" s="603"/>
      <c r="J216" s="604"/>
    </row>
    <row r="217" spans="1:10" ht="12.75" customHeight="1" x14ac:dyDescent="0.2">
      <c r="A217" s="90"/>
      <c r="B217" s="76"/>
      <c r="C217" s="75"/>
      <c r="D217" s="75"/>
      <c r="E217" s="75"/>
      <c r="F217" s="75"/>
      <c r="G217" s="75"/>
      <c r="H217" s="75"/>
      <c r="I217" s="75"/>
      <c r="J217" s="87"/>
    </row>
    <row r="218" spans="1:10" ht="12.75" customHeight="1" x14ac:dyDescent="0.2">
      <c r="A218" s="90"/>
      <c r="B218" s="607" t="s">
        <v>303</v>
      </c>
      <c r="C218" s="607"/>
      <c r="D218" s="607"/>
      <c r="E218" s="607"/>
      <c r="F218" s="607"/>
      <c r="G218" s="607"/>
      <c r="H218" s="607"/>
      <c r="I218" s="607"/>
      <c r="J218" s="177"/>
    </row>
    <row r="219" spans="1:10" ht="12.75" customHeight="1" x14ac:dyDescent="0.2">
      <c r="A219" s="90"/>
      <c r="B219" s="607"/>
      <c r="C219" s="607"/>
      <c r="D219" s="607"/>
      <c r="E219" s="607"/>
      <c r="F219" s="607"/>
      <c r="G219" s="607"/>
      <c r="H219" s="607"/>
      <c r="I219" s="607"/>
      <c r="J219" s="177"/>
    </row>
    <row r="220" spans="1:10" ht="12.75" customHeight="1" thickBot="1" x14ac:dyDescent="0.25">
      <c r="A220" s="90"/>
      <c r="B220" s="176"/>
      <c r="C220" s="176"/>
      <c r="D220" s="176"/>
      <c r="E220" s="176"/>
      <c r="F220" s="176"/>
      <c r="G220" s="176"/>
      <c r="H220" s="176"/>
      <c r="I220" s="176"/>
      <c r="J220" s="87"/>
    </row>
    <row r="221" spans="1:10" ht="12.75" customHeight="1" thickBot="1" x14ac:dyDescent="0.25">
      <c r="A221" s="90"/>
      <c r="B221" s="74" t="s">
        <v>23</v>
      </c>
      <c r="C221" s="75"/>
      <c r="D221" s="582" t="s">
        <v>304</v>
      </c>
      <c r="E221" s="582"/>
      <c r="F221" s="582"/>
      <c r="G221" s="582"/>
      <c r="H221" s="582"/>
      <c r="I221" s="126"/>
      <c r="J221" s="127"/>
    </row>
    <row r="222" spans="1:10" ht="13.5" thickBot="1" x14ac:dyDescent="0.25">
      <c r="A222" s="90"/>
      <c r="B222" s="77"/>
      <c r="C222" s="75"/>
      <c r="D222" s="126"/>
      <c r="E222" s="126"/>
      <c r="F222" s="126"/>
      <c r="G222" s="126"/>
      <c r="H222" s="126"/>
      <c r="I222" s="126"/>
      <c r="J222" s="127"/>
    </row>
    <row r="223" spans="1:10" ht="12.75" customHeight="1" thickBot="1" x14ac:dyDescent="0.25">
      <c r="A223" s="90"/>
      <c r="B223" s="79" t="s">
        <v>23</v>
      </c>
      <c r="C223" s="75"/>
      <c r="D223" s="587" t="s">
        <v>305</v>
      </c>
      <c r="E223" s="587"/>
      <c r="F223" s="587"/>
      <c r="G223" s="587"/>
      <c r="H223" s="587"/>
      <c r="I223" s="78"/>
      <c r="J223" s="92"/>
    </row>
    <row r="224" spans="1:10" ht="13.5" thickBot="1" x14ac:dyDescent="0.25">
      <c r="A224" s="90"/>
      <c r="B224" s="77"/>
      <c r="C224" s="75"/>
      <c r="D224" s="126"/>
      <c r="E224" s="126"/>
      <c r="F224" s="126"/>
      <c r="G224" s="126"/>
      <c r="H224" s="126"/>
      <c r="I224" s="126"/>
      <c r="J224" s="127"/>
    </row>
    <row r="225" spans="1:10" ht="12.75" customHeight="1" thickBot="1" x14ac:dyDescent="0.25">
      <c r="A225" s="90"/>
      <c r="B225" s="79" t="s">
        <v>23</v>
      </c>
      <c r="C225" s="75"/>
      <c r="D225" s="582" t="s">
        <v>306</v>
      </c>
      <c r="E225" s="582"/>
      <c r="F225" s="582"/>
      <c r="G225" s="582"/>
      <c r="H225" s="582"/>
      <c r="I225" s="582"/>
      <c r="J225" s="127"/>
    </row>
    <row r="226" spans="1:10" ht="13.5" thickBot="1" x14ac:dyDescent="0.25">
      <c r="A226" s="90"/>
      <c r="B226" s="76"/>
      <c r="C226" s="75"/>
      <c r="D226" s="80"/>
      <c r="E226" s="75"/>
      <c r="F226" s="75"/>
      <c r="G226" s="75"/>
      <c r="H226" s="75"/>
      <c r="I226" s="75"/>
      <c r="J226" s="87"/>
    </row>
    <row r="227" spans="1:10" ht="12.75" customHeight="1" thickBot="1" x14ac:dyDescent="0.25">
      <c r="A227" s="90"/>
      <c r="B227" s="74"/>
      <c r="C227" s="75"/>
      <c r="D227" s="582" t="s">
        <v>359</v>
      </c>
      <c r="E227" s="582"/>
      <c r="F227" s="582"/>
      <c r="G227" s="582"/>
      <c r="H227" s="582"/>
      <c r="I227" s="126"/>
      <c r="J227" s="127"/>
    </row>
    <row r="228" spans="1:10" ht="13.5" thickBot="1" x14ac:dyDescent="0.25">
      <c r="A228" s="90"/>
      <c r="B228" s="77"/>
      <c r="C228" s="75"/>
      <c r="D228" s="126"/>
      <c r="E228" s="126"/>
      <c r="F228" s="126"/>
      <c r="G228" s="126"/>
      <c r="H228" s="126"/>
      <c r="I228" s="126"/>
      <c r="J228" s="127"/>
    </row>
    <row r="229" spans="1:10" ht="12.75" customHeight="1" thickBot="1" x14ac:dyDescent="0.25">
      <c r="A229" s="90"/>
      <c r="B229" s="79" t="s">
        <v>23</v>
      </c>
      <c r="C229" s="75"/>
      <c r="D229" s="587" t="s">
        <v>307</v>
      </c>
      <c r="E229" s="587"/>
      <c r="F229" s="587"/>
      <c r="G229" s="587"/>
      <c r="H229" s="587"/>
      <c r="I229" s="78"/>
      <c r="J229" s="92"/>
    </row>
    <row r="230" spans="1:10" ht="13.5" thickBot="1" x14ac:dyDescent="0.25">
      <c r="A230" s="90"/>
      <c r="B230" s="77"/>
      <c r="C230" s="75"/>
      <c r="D230" s="126"/>
      <c r="E230" s="126"/>
      <c r="F230" s="126"/>
      <c r="G230" s="126"/>
      <c r="H230" s="126"/>
      <c r="I230" s="126"/>
      <c r="J230" s="127"/>
    </row>
    <row r="231" spans="1:10" ht="12.75" customHeight="1" thickBot="1" x14ac:dyDescent="0.25">
      <c r="A231" s="90"/>
      <c r="B231" s="79"/>
      <c r="C231" s="75"/>
      <c r="D231" s="587" t="s">
        <v>308</v>
      </c>
      <c r="E231" s="587"/>
      <c r="F231" s="587"/>
      <c r="G231" s="587"/>
      <c r="H231" s="587"/>
      <c r="I231" s="587"/>
      <c r="J231" s="127"/>
    </row>
    <row r="232" spans="1:10" ht="13.5" thickBot="1" x14ac:dyDescent="0.25">
      <c r="A232" s="90"/>
      <c r="B232" s="76"/>
      <c r="C232" s="75"/>
      <c r="D232" s="80"/>
      <c r="E232" s="75"/>
      <c r="F232" s="75"/>
      <c r="G232" s="75"/>
      <c r="H232" s="75"/>
      <c r="I232" s="75"/>
      <c r="J232" s="87"/>
    </row>
    <row r="233" spans="1:10" ht="12.75" customHeight="1" thickBot="1" x14ac:dyDescent="0.25">
      <c r="A233" s="90"/>
      <c r="B233" s="74" t="s">
        <v>23</v>
      </c>
      <c r="C233" s="75"/>
      <c r="D233" s="582" t="s">
        <v>311</v>
      </c>
      <c r="E233" s="582"/>
      <c r="F233" s="582"/>
      <c r="G233" s="582"/>
      <c r="H233" s="582"/>
      <c r="I233" s="126"/>
      <c r="J233" s="127"/>
    </row>
    <row r="234" spans="1:10" ht="13.5" thickBot="1" x14ac:dyDescent="0.25">
      <c r="A234" s="90"/>
      <c r="B234" s="77"/>
      <c r="C234" s="75"/>
      <c r="D234" s="126"/>
      <c r="E234" s="126"/>
      <c r="F234" s="126"/>
      <c r="G234" s="126"/>
      <c r="H234" s="126"/>
      <c r="I234" s="126"/>
      <c r="J234" s="127"/>
    </row>
    <row r="235" spans="1:10" ht="12.75" customHeight="1" thickBot="1" x14ac:dyDescent="0.25">
      <c r="A235" s="90"/>
      <c r="B235" s="79"/>
      <c r="C235" s="75"/>
      <c r="D235" s="587" t="s">
        <v>309</v>
      </c>
      <c r="E235" s="587"/>
      <c r="F235" s="587"/>
      <c r="G235" s="587"/>
      <c r="H235" s="587"/>
      <c r="I235" s="78"/>
      <c r="J235" s="92"/>
    </row>
    <row r="236" spans="1:10" ht="13.5" customHeight="1" thickBot="1" x14ac:dyDescent="0.25">
      <c r="A236" s="90"/>
      <c r="B236" s="77"/>
      <c r="C236" s="75"/>
      <c r="D236" s="114"/>
      <c r="E236" s="126"/>
      <c r="F236" s="126"/>
      <c r="G236" s="126"/>
      <c r="H236" s="126"/>
      <c r="I236" s="126"/>
      <c r="J236" s="127"/>
    </row>
    <row r="237" spans="1:10" ht="12.75" customHeight="1" thickBot="1" x14ac:dyDescent="0.25">
      <c r="A237" s="90"/>
      <c r="B237" s="79" t="s">
        <v>23</v>
      </c>
      <c r="C237" s="75"/>
      <c r="D237" s="587" t="s">
        <v>310</v>
      </c>
      <c r="E237" s="587"/>
      <c r="F237" s="587"/>
      <c r="G237" s="587"/>
      <c r="H237" s="587"/>
      <c r="I237" s="78"/>
      <c r="J237" s="92"/>
    </row>
    <row r="238" spans="1:10" ht="13.5" customHeight="1" thickBot="1" x14ac:dyDescent="0.25">
      <c r="A238" s="90"/>
      <c r="B238" s="77"/>
      <c r="C238" s="75"/>
      <c r="D238" s="114"/>
      <c r="E238" s="126"/>
      <c r="F238" s="126"/>
      <c r="G238" s="126"/>
      <c r="H238" s="126"/>
      <c r="I238" s="126"/>
      <c r="J238" s="127"/>
    </row>
    <row r="239" spans="1:10" ht="12.75" customHeight="1" thickBot="1" x14ac:dyDescent="0.25">
      <c r="A239" s="90"/>
      <c r="B239" s="79"/>
      <c r="C239" s="75"/>
      <c r="D239" s="582" t="s">
        <v>222</v>
      </c>
      <c r="E239" s="582"/>
      <c r="F239" s="582"/>
      <c r="G239" s="582"/>
      <c r="H239" s="582"/>
      <c r="I239" s="582"/>
      <c r="J239" s="127"/>
    </row>
    <row r="240" spans="1:10" ht="13.5" thickBot="1" x14ac:dyDescent="0.25">
      <c r="A240" s="90"/>
      <c r="B240" s="77"/>
      <c r="C240" s="75"/>
      <c r="D240" s="588"/>
      <c r="E240" s="589"/>
      <c r="F240" s="589"/>
      <c r="G240" s="589"/>
      <c r="H240" s="589"/>
      <c r="I240" s="590"/>
      <c r="J240" s="127"/>
    </row>
    <row r="241" spans="1:10" x14ac:dyDescent="0.2">
      <c r="A241" s="90"/>
      <c r="B241" s="76"/>
      <c r="C241" s="75"/>
      <c r="D241" s="80"/>
      <c r="E241" s="75"/>
      <c r="F241" s="75"/>
      <c r="G241" s="75"/>
      <c r="H241" s="75"/>
      <c r="I241" s="75"/>
      <c r="J241" s="87"/>
    </row>
    <row r="242" spans="1:10" ht="12.75" customHeight="1" x14ac:dyDescent="0.2">
      <c r="A242" s="593" t="s">
        <v>352</v>
      </c>
      <c r="B242" s="594"/>
      <c r="C242" s="594"/>
      <c r="D242" s="594"/>
      <c r="E242" s="594"/>
      <c r="F242" s="594"/>
      <c r="G242" s="594"/>
      <c r="H242" s="594"/>
      <c r="I242" s="594"/>
      <c r="J242" s="595"/>
    </row>
    <row r="243" spans="1:10" ht="12.75" customHeight="1" x14ac:dyDescent="0.2">
      <c r="A243" s="610" t="s">
        <v>644</v>
      </c>
      <c r="B243" s="611"/>
      <c r="C243" s="611"/>
      <c r="D243" s="611"/>
      <c r="E243" s="611"/>
      <c r="F243" s="611"/>
      <c r="G243" s="611"/>
      <c r="H243" s="611"/>
      <c r="I243" s="611"/>
      <c r="J243" s="612"/>
    </row>
    <row r="244" spans="1:10" ht="12.75" customHeight="1" x14ac:dyDescent="0.2">
      <c r="A244" s="610"/>
      <c r="B244" s="611"/>
      <c r="C244" s="611"/>
      <c r="D244" s="611"/>
      <c r="E244" s="611"/>
      <c r="F244" s="611"/>
      <c r="G244" s="611"/>
      <c r="H244" s="611"/>
      <c r="I244" s="611"/>
      <c r="J244" s="612"/>
    </row>
    <row r="245" spans="1:10" ht="12.75" customHeight="1" x14ac:dyDescent="0.2">
      <c r="A245" s="610"/>
      <c r="B245" s="611"/>
      <c r="C245" s="611"/>
      <c r="D245" s="611"/>
      <c r="E245" s="611"/>
      <c r="F245" s="611"/>
      <c r="G245" s="611"/>
      <c r="H245" s="611"/>
      <c r="I245" s="611"/>
      <c r="J245" s="612"/>
    </row>
    <row r="246" spans="1:10" ht="12.75" customHeight="1" x14ac:dyDescent="0.2">
      <c r="A246" s="610"/>
      <c r="B246" s="611"/>
      <c r="C246" s="611"/>
      <c r="D246" s="611"/>
      <c r="E246" s="611"/>
      <c r="F246" s="611"/>
      <c r="G246" s="611"/>
      <c r="H246" s="611"/>
      <c r="I246" s="611"/>
      <c r="J246" s="612"/>
    </row>
    <row r="247" spans="1:10" ht="12.75" customHeight="1" x14ac:dyDescent="0.2">
      <c r="A247" s="610"/>
      <c r="B247" s="611"/>
      <c r="C247" s="611"/>
      <c r="D247" s="611"/>
      <c r="E247" s="611"/>
      <c r="F247" s="611"/>
      <c r="G247" s="611"/>
      <c r="H247" s="611"/>
      <c r="I247" s="611"/>
      <c r="J247" s="612"/>
    </row>
    <row r="248" spans="1:10" ht="12.75" customHeight="1" x14ac:dyDescent="0.2">
      <c r="A248" s="610"/>
      <c r="B248" s="611"/>
      <c r="C248" s="611"/>
      <c r="D248" s="611"/>
      <c r="E248" s="611"/>
      <c r="F248" s="611"/>
      <c r="G248" s="611"/>
      <c r="H248" s="611"/>
      <c r="I248" s="611"/>
      <c r="J248" s="612"/>
    </row>
    <row r="249" spans="1:10" ht="12.75" customHeight="1" x14ac:dyDescent="0.2">
      <c r="A249" s="610"/>
      <c r="B249" s="611"/>
      <c r="C249" s="611"/>
      <c r="D249" s="611"/>
      <c r="E249" s="611"/>
      <c r="F249" s="611"/>
      <c r="G249" s="611"/>
      <c r="H249" s="611"/>
      <c r="I249" s="611"/>
      <c r="J249" s="612"/>
    </row>
    <row r="250" spans="1:10" ht="12.75" customHeight="1" x14ac:dyDescent="0.2">
      <c r="A250" s="610"/>
      <c r="B250" s="611"/>
      <c r="C250" s="611"/>
      <c r="D250" s="611"/>
      <c r="E250" s="611"/>
      <c r="F250" s="611"/>
      <c r="G250" s="611"/>
      <c r="H250" s="611"/>
      <c r="I250" s="611"/>
      <c r="J250" s="612"/>
    </row>
    <row r="251" spans="1:10" ht="12.75" customHeight="1" x14ac:dyDescent="0.2">
      <c r="A251" s="593" t="s">
        <v>353</v>
      </c>
      <c r="B251" s="594"/>
      <c r="C251" s="594"/>
      <c r="D251" s="594"/>
      <c r="E251" s="594"/>
      <c r="F251" s="594"/>
      <c r="G251" s="594"/>
      <c r="H251" s="594"/>
      <c r="I251" s="594"/>
      <c r="J251" s="595"/>
    </row>
    <row r="252" spans="1:10" ht="12.75" customHeight="1" x14ac:dyDescent="0.2">
      <c r="A252" s="610" t="s">
        <v>635</v>
      </c>
      <c r="B252" s="611"/>
      <c r="C252" s="611"/>
      <c r="D252" s="611"/>
      <c r="E252" s="611"/>
      <c r="F252" s="611"/>
      <c r="G252" s="611"/>
      <c r="H252" s="611"/>
      <c r="I252" s="611"/>
      <c r="J252" s="612"/>
    </row>
    <row r="253" spans="1:10" ht="12.75" customHeight="1" x14ac:dyDescent="0.2">
      <c r="A253" s="610"/>
      <c r="B253" s="611"/>
      <c r="C253" s="611"/>
      <c r="D253" s="611"/>
      <c r="E253" s="611"/>
      <c r="F253" s="611"/>
      <c r="G253" s="611"/>
      <c r="H253" s="611"/>
      <c r="I253" s="611"/>
      <c r="J253" s="612"/>
    </row>
    <row r="254" spans="1:10" ht="12.75" customHeight="1" x14ac:dyDescent="0.2">
      <c r="A254" s="610"/>
      <c r="B254" s="611"/>
      <c r="C254" s="611"/>
      <c r="D254" s="611"/>
      <c r="E254" s="611"/>
      <c r="F254" s="611"/>
      <c r="G254" s="611"/>
      <c r="H254" s="611"/>
      <c r="I254" s="611"/>
      <c r="J254" s="612"/>
    </row>
    <row r="255" spans="1:10" ht="12.75" customHeight="1" x14ac:dyDescent="0.2">
      <c r="A255" s="610"/>
      <c r="B255" s="611"/>
      <c r="C255" s="611"/>
      <c r="D255" s="611"/>
      <c r="E255" s="611"/>
      <c r="F255" s="611"/>
      <c r="G255" s="611"/>
      <c r="H255" s="611"/>
      <c r="I255" s="611"/>
      <c r="J255" s="612"/>
    </row>
    <row r="256" spans="1:10" ht="12.75" customHeight="1" x14ac:dyDescent="0.2">
      <c r="A256" s="610"/>
      <c r="B256" s="611"/>
      <c r="C256" s="611"/>
      <c r="D256" s="611"/>
      <c r="E256" s="611"/>
      <c r="F256" s="611"/>
      <c r="G256" s="611"/>
      <c r="H256" s="611"/>
      <c r="I256" s="611"/>
      <c r="J256" s="612"/>
    </row>
    <row r="257" spans="1:10" ht="12.75" customHeight="1" x14ac:dyDescent="0.2">
      <c r="A257" s="610"/>
      <c r="B257" s="611"/>
      <c r="C257" s="611"/>
      <c r="D257" s="611"/>
      <c r="E257" s="611"/>
      <c r="F257" s="611"/>
      <c r="G257" s="611"/>
      <c r="H257" s="611"/>
      <c r="I257" s="611"/>
      <c r="J257" s="612"/>
    </row>
    <row r="258" spans="1:10" ht="12.75" customHeight="1" x14ac:dyDescent="0.2">
      <c r="A258" s="610"/>
      <c r="B258" s="611"/>
      <c r="C258" s="611"/>
      <c r="D258" s="611"/>
      <c r="E258" s="611"/>
      <c r="F258" s="611"/>
      <c r="G258" s="611"/>
      <c r="H258" s="611"/>
      <c r="I258" s="611"/>
      <c r="J258" s="612"/>
    </row>
    <row r="259" spans="1:10" ht="12.75" customHeight="1" x14ac:dyDescent="0.2">
      <c r="A259" s="593" t="s">
        <v>354</v>
      </c>
      <c r="B259" s="594"/>
      <c r="C259" s="594"/>
      <c r="D259" s="594"/>
      <c r="E259" s="594"/>
      <c r="F259" s="594"/>
      <c r="G259" s="594"/>
      <c r="H259" s="594"/>
      <c r="I259" s="594"/>
      <c r="J259" s="595"/>
    </row>
    <row r="260" spans="1:10" ht="12.75" customHeight="1" x14ac:dyDescent="0.2">
      <c r="A260" s="610" t="s">
        <v>636</v>
      </c>
      <c r="B260" s="611"/>
      <c r="C260" s="611"/>
      <c r="D260" s="611"/>
      <c r="E260" s="611"/>
      <c r="F260" s="611"/>
      <c r="G260" s="611"/>
      <c r="H260" s="611"/>
      <c r="I260" s="611"/>
      <c r="J260" s="612"/>
    </row>
    <row r="261" spans="1:10" ht="12.75" customHeight="1" x14ac:dyDescent="0.2">
      <c r="A261" s="610"/>
      <c r="B261" s="611"/>
      <c r="C261" s="611"/>
      <c r="D261" s="611"/>
      <c r="E261" s="611"/>
      <c r="F261" s="611"/>
      <c r="G261" s="611"/>
      <c r="H261" s="611"/>
      <c r="I261" s="611"/>
      <c r="J261" s="612"/>
    </row>
    <row r="262" spans="1:10" ht="12.75" customHeight="1" x14ac:dyDescent="0.2">
      <c r="A262" s="610"/>
      <c r="B262" s="611"/>
      <c r="C262" s="611"/>
      <c r="D262" s="611"/>
      <c r="E262" s="611"/>
      <c r="F262" s="611"/>
      <c r="G262" s="611"/>
      <c r="H262" s="611"/>
      <c r="I262" s="611"/>
      <c r="J262" s="612"/>
    </row>
    <row r="263" spans="1:10" ht="12.75" customHeight="1" x14ac:dyDescent="0.2">
      <c r="A263" s="610"/>
      <c r="B263" s="611"/>
      <c r="C263" s="611"/>
      <c r="D263" s="611"/>
      <c r="E263" s="611"/>
      <c r="F263" s="611"/>
      <c r="G263" s="611"/>
      <c r="H263" s="611"/>
      <c r="I263" s="611"/>
      <c r="J263" s="612"/>
    </row>
    <row r="264" spans="1:10" ht="12.75" customHeight="1" x14ac:dyDescent="0.2">
      <c r="A264" s="610"/>
      <c r="B264" s="611"/>
      <c r="C264" s="611"/>
      <c r="D264" s="611"/>
      <c r="E264" s="611"/>
      <c r="F264" s="611"/>
      <c r="G264" s="611"/>
      <c r="H264" s="611"/>
      <c r="I264" s="611"/>
      <c r="J264" s="612"/>
    </row>
    <row r="265" spans="1:10" ht="12.75" customHeight="1" x14ac:dyDescent="0.2">
      <c r="A265" s="610"/>
      <c r="B265" s="611"/>
      <c r="C265" s="611"/>
      <c r="D265" s="611"/>
      <c r="E265" s="611"/>
      <c r="F265" s="611"/>
      <c r="G265" s="611"/>
      <c r="H265" s="611"/>
      <c r="I265" s="611"/>
      <c r="J265" s="612"/>
    </row>
    <row r="266" spans="1:10" ht="12.75" customHeight="1" x14ac:dyDescent="0.2">
      <c r="A266" s="610"/>
      <c r="B266" s="611"/>
      <c r="C266" s="611"/>
      <c r="D266" s="611"/>
      <c r="E266" s="611"/>
      <c r="F266" s="611"/>
      <c r="G266" s="611"/>
      <c r="H266" s="611"/>
      <c r="I266" s="611"/>
      <c r="J266" s="612"/>
    </row>
    <row r="267" spans="1:10" ht="12.75" customHeight="1" x14ac:dyDescent="0.2">
      <c r="A267" s="610"/>
      <c r="B267" s="611"/>
      <c r="C267" s="611"/>
      <c r="D267" s="611"/>
      <c r="E267" s="611"/>
      <c r="F267" s="611"/>
      <c r="G267" s="611"/>
      <c r="H267" s="611"/>
      <c r="I267" s="611"/>
      <c r="J267" s="612"/>
    </row>
    <row r="268" spans="1:10" ht="12.75" customHeight="1" x14ac:dyDescent="0.2">
      <c r="A268" s="593" t="s">
        <v>355</v>
      </c>
      <c r="B268" s="594"/>
      <c r="C268" s="594"/>
      <c r="D268" s="594"/>
      <c r="E268" s="594"/>
      <c r="F268" s="594"/>
      <c r="G268" s="594"/>
      <c r="H268" s="594"/>
      <c r="I268" s="594"/>
      <c r="J268" s="595"/>
    </row>
    <row r="269" spans="1:10" ht="12.75" customHeight="1" x14ac:dyDescent="0.2">
      <c r="A269" s="610" t="s">
        <v>639</v>
      </c>
      <c r="B269" s="611"/>
      <c r="C269" s="611"/>
      <c r="D269" s="611"/>
      <c r="E269" s="611"/>
      <c r="F269" s="611"/>
      <c r="G269" s="611"/>
      <c r="H269" s="611"/>
      <c r="I269" s="611"/>
      <c r="J269" s="612"/>
    </row>
    <row r="270" spans="1:10" ht="12.75" customHeight="1" x14ac:dyDescent="0.2">
      <c r="A270" s="610"/>
      <c r="B270" s="611"/>
      <c r="C270" s="611"/>
      <c r="D270" s="611"/>
      <c r="E270" s="611"/>
      <c r="F270" s="611"/>
      <c r="G270" s="611"/>
      <c r="H270" s="611"/>
      <c r="I270" s="611"/>
      <c r="J270" s="612"/>
    </row>
    <row r="271" spans="1:10" ht="12.75" customHeight="1" x14ac:dyDescent="0.2">
      <c r="A271" s="610"/>
      <c r="B271" s="611"/>
      <c r="C271" s="611"/>
      <c r="D271" s="611"/>
      <c r="E271" s="611"/>
      <c r="F271" s="611"/>
      <c r="G271" s="611"/>
      <c r="H271" s="611"/>
      <c r="I271" s="611"/>
      <c r="J271" s="612"/>
    </row>
    <row r="272" spans="1:10" ht="12.75" customHeight="1" x14ac:dyDescent="0.2">
      <c r="A272" s="610"/>
      <c r="B272" s="611"/>
      <c r="C272" s="611"/>
      <c r="D272" s="611"/>
      <c r="E272" s="611"/>
      <c r="F272" s="611"/>
      <c r="G272" s="611"/>
      <c r="H272" s="611"/>
      <c r="I272" s="611"/>
      <c r="J272" s="612"/>
    </row>
    <row r="273" spans="1:10" ht="12.75" customHeight="1" x14ac:dyDescent="0.2">
      <c r="A273" s="610"/>
      <c r="B273" s="611"/>
      <c r="C273" s="611"/>
      <c r="D273" s="611"/>
      <c r="E273" s="611"/>
      <c r="F273" s="611"/>
      <c r="G273" s="611"/>
      <c r="H273" s="611"/>
      <c r="I273" s="611"/>
      <c r="J273" s="612"/>
    </row>
    <row r="274" spans="1:10" ht="12.75" customHeight="1" x14ac:dyDescent="0.2">
      <c r="A274" s="610"/>
      <c r="B274" s="611"/>
      <c r="C274" s="611"/>
      <c r="D274" s="611"/>
      <c r="E274" s="611"/>
      <c r="F274" s="611"/>
      <c r="G274" s="611"/>
      <c r="H274" s="611"/>
      <c r="I274" s="611"/>
      <c r="J274" s="612"/>
    </row>
    <row r="275" spans="1:10" ht="12.75" customHeight="1" x14ac:dyDescent="0.2">
      <c r="A275" s="610"/>
      <c r="B275" s="611"/>
      <c r="C275" s="611"/>
      <c r="D275" s="611"/>
      <c r="E275" s="611"/>
      <c r="F275" s="611"/>
      <c r="G275" s="611"/>
      <c r="H275" s="611"/>
      <c r="I275" s="611"/>
      <c r="J275" s="612"/>
    </row>
    <row r="276" spans="1:10" ht="12.75" customHeight="1" x14ac:dyDescent="0.2">
      <c r="A276" s="610"/>
      <c r="B276" s="611"/>
      <c r="C276" s="611"/>
      <c r="D276" s="611"/>
      <c r="E276" s="611"/>
      <c r="F276" s="611"/>
      <c r="G276" s="611"/>
      <c r="H276" s="611"/>
      <c r="I276" s="611"/>
      <c r="J276" s="612"/>
    </row>
    <row r="277" spans="1:10" ht="12.75" customHeight="1" x14ac:dyDescent="0.2">
      <c r="A277" s="593" t="s">
        <v>356</v>
      </c>
      <c r="B277" s="594"/>
      <c r="C277" s="594"/>
      <c r="D277" s="594"/>
      <c r="E277" s="594"/>
      <c r="F277" s="594"/>
      <c r="G277" s="594"/>
      <c r="H277" s="594"/>
      <c r="I277" s="594"/>
      <c r="J277" s="595"/>
    </row>
    <row r="278" spans="1:10" ht="12.75" customHeight="1" x14ac:dyDescent="0.2">
      <c r="A278" s="599"/>
      <c r="B278" s="600"/>
      <c r="C278" s="600"/>
      <c r="D278" s="600"/>
      <c r="E278" s="600"/>
      <c r="F278" s="600"/>
      <c r="G278" s="600"/>
      <c r="H278" s="600"/>
      <c r="I278" s="600"/>
      <c r="J278" s="601"/>
    </row>
    <row r="279" spans="1:10" ht="12.75" customHeight="1" x14ac:dyDescent="0.2">
      <c r="A279" s="610" t="s">
        <v>637</v>
      </c>
      <c r="B279" s="611"/>
      <c r="C279" s="611"/>
      <c r="D279" s="611"/>
      <c r="E279" s="611"/>
      <c r="F279" s="611"/>
      <c r="G279" s="611"/>
      <c r="H279" s="611"/>
      <c r="I279" s="611"/>
      <c r="J279" s="612"/>
    </row>
    <row r="280" spans="1:10" ht="12.75" customHeight="1" x14ac:dyDescent="0.2">
      <c r="A280" s="610"/>
      <c r="B280" s="611"/>
      <c r="C280" s="611"/>
      <c r="D280" s="611"/>
      <c r="E280" s="611"/>
      <c r="F280" s="611"/>
      <c r="G280" s="611"/>
      <c r="H280" s="611"/>
      <c r="I280" s="611"/>
      <c r="J280" s="612"/>
    </row>
    <row r="281" spans="1:10" ht="12.75" customHeight="1" x14ac:dyDescent="0.2">
      <c r="A281" s="610"/>
      <c r="B281" s="611"/>
      <c r="C281" s="611"/>
      <c r="D281" s="611"/>
      <c r="E281" s="611"/>
      <c r="F281" s="611"/>
      <c r="G281" s="611"/>
      <c r="H281" s="611"/>
      <c r="I281" s="611"/>
      <c r="J281" s="612"/>
    </row>
    <row r="282" spans="1:10" ht="12.75" customHeight="1" x14ac:dyDescent="0.2">
      <c r="A282" s="610"/>
      <c r="B282" s="611"/>
      <c r="C282" s="611"/>
      <c r="D282" s="611"/>
      <c r="E282" s="611"/>
      <c r="F282" s="611"/>
      <c r="G282" s="611"/>
      <c r="H282" s="611"/>
      <c r="I282" s="611"/>
      <c r="J282" s="612"/>
    </row>
    <row r="283" spans="1:10" ht="12.75" customHeight="1" x14ac:dyDescent="0.2">
      <c r="A283" s="610"/>
      <c r="B283" s="611"/>
      <c r="C283" s="611"/>
      <c r="D283" s="611"/>
      <c r="E283" s="611"/>
      <c r="F283" s="611"/>
      <c r="G283" s="611"/>
      <c r="H283" s="611"/>
      <c r="I283" s="611"/>
      <c r="J283" s="612"/>
    </row>
    <row r="284" spans="1:10" ht="12.75" customHeight="1" x14ac:dyDescent="0.2">
      <c r="A284" s="610"/>
      <c r="B284" s="611"/>
      <c r="C284" s="611"/>
      <c r="D284" s="611"/>
      <c r="E284" s="611"/>
      <c r="F284" s="611"/>
      <c r="G284" s="611"/>
      <c r="H284" s="611"/>
      <c r="I284" s="611"/>
      <c r="J284" s="612"/>
    </row>
    <row r="285" spans="1:10" ht="12.75" customHeight="1" x14ac:dyDescent="0.2">
      <c r="A285" s="610"/>
      <c r="B285" s="611"/>
      <c r="C285" s="611"/>
      <c r="D285" s="611"/>
      <c r="E285" s="611"/>
      <c r="F285" s="611"/>
      <c r="G285" s="611"/>
      <c r="H285" s="611"/>
      <c r="I285" s="611"/>
      <c r="J285" s="612"/>
    </row>
    <row r="286" spans="1:10" ht="12.75" customHeight="1" x14ac:dyDescent="0.2">
      <c r="A286" s="610"/>
      <c r="B286" s="611"/>
      <c r="C286" s="611"/>
      <c r="D286" s="611"/>
      <c r="E286" s="611"/>
      <c r="F286" s="611"/>
      <c r="G286" s="611"/>
      <c r="H286" s="611"/>
      <c r="I286" s="611"/>
      <c r="J286" s="612"/>
    </row>
    <row r="287" spans="1:10" ht="12.75" customHeight="1" x14ac:dyDescent="0.2">
      <c r="A287" s="593" t="s">
        <v>357</v>
      </c>
      <c r="B287" s="594"/>
      <c r="C287" s="594"/>
      <c r="D287" s="594"/>
      <c r="E287" s="594"/>
      <c r="F287" s="594"/>
      <c r="G287" s="594"/>
      <c r="H287" s="594"/>
      <c r="I287" s="594"/>
      <c r="J287" s="595"/>
    </row>
    <row r="288" spans="1:10" ht="12.75" customHeight="1" x14ac:dyDescent="0.2">
      <c r="A288" s="610" t="s">
        <v>638</v>
      </c>
      <c r="B288" s="611"/>
      <c r="C288" s="611"/>
      <c r="D288" s="611"/>
      <c r="E288" s="611"/>
      <c r="F288" s="611"/>
      <c r="G288" s="611"/>
      <c r="H288" s="611"/>
      <c r="I288" s="611"/>
      <c r="J288" s="612"/>
    </row>
    <row r="289" spans="1:10" ht="12.75" customHeight="1" x14ac:dyDescent="0.2">
      <c r="A289" s="610"/>
      <c r="B289" s="611"/>
      <c r="C289" s="611"/>
      <c r="D289" s="611"/>
      <c r="E289" s="611"/>
      <c r="F289" s="611"/>
      <c r="G289" s="611"/>
      <c r="H289" s="611"/>
      <c r="I289" s="611"/>
      <c r="J289" s="612"/>
    </row>
    <row r="290" spans="1:10" ht="12.75" customHeight="1" x14ac:dyDescent="0.2">
      <c r="A290" s="610"/>
      <c r="B290" s="611"/>
      <c r="C290" s="611"/>
      <c r="D290" s="611"/>
      <c r="E290" s="611"/>
      <c r="F290" s="611"/>
      <c r="G290" s="611"/>
      <c r="H290" s="611"/>
      <c r="I290" s="611"/>
      <c r="J290" s="612"/>
    </row>
    <row r="291" spans="1:10" ht="12.75" customHeight="1" x14ac:dyDescent="0.2">
      <c r="A291" s="610"/>
      <c r="B291" s="611"/>
      <c r="C291" s="611"/>
      <c r="D291" s="611"/>
      <c r="E291" s="611"/>
      <c r="F291" s="611"/>
      <c r="G291" s="611"/>
      <c r="H291" s="611"/>
      <c r="I291" s="611"/>
      <c r="J291" s="612"/>
    </row>
    <row r="292" spans="1:10" ht="12.75" customHeight="1" x14ac:dyDescent="0.2">
      <c r="A292" s="610"/>
      <c r="B292" s="611"/>
      <c r="C292" s="611"/>
      <c r="D292" s="611"/>
      <c r="E292" s="611"/>
      <c r="F292" s="611"/>
      <c r="G292" s="611"/>
      <c r="H292" s="611"/>
      <c r="I292" s="611"/>
      <c r="J292" s="612"/>
    </row>
    <row r="293" spans="1:10" ht="12.75" customHeight="1" x14ac:dyDescent="0.2">
      <c r="A293" s="610"/>
      <c r="B293" s="611"/>
      <c r="C293" s="611"/>
      <c r="D293" s="611"/>
      <c r="E293" s="611"/>
      <c r="F293" s="611"/>
      <c r="G293" s="611"/>
      <c r="H293" s="611"/>
      <c r="I293" s="611"/>
      <c r="J293" s="612"/>
    </row>
    <row r="294" spans="1:10" ht="12.75" customHeight="1" x14ac:dyDescent="0.2">
      <c r="A294" s="610"/>
      <c r="B294" s="611"/>
      <c r="C294" s="611"/>
      <c r="D294" s="611"/>
      <c r="E294" s="611"/>
      <c r="F294" s="611"/>
      <c r="G294" s="611"/>
      <c r="H294" s="611"/>
      <c r="I294" s="611"/>
      <c r="J294" s="612"/>
    </row>
    <row r="295" spans="1:10" ht="12.75" customHeight="1" x14ac:dyDescent="0.2">
      <c r="A295" s="610"/>
      <c r="B295" s="611"/>
      <c r="C295" s="611"/>
      <c r="D295" s="611"/>
      <c r="E295" s="611"/>
      <c r="F295" s="611"/>
      <c r="G295" s="611"/>
      <c r="H295" s="611"/>
      <c r="I295" s="611"/>
      <c r="J295" s="612"/>
    </row>
    <row r="296" spans="1:10" s="61" customFormat="1" x14ac:dyDescent="0.2">
      <c r="A296" s="55"/>
      <c r="B296" s="56"/>
      <c r="C296" s="57"/>
      <c r="D296" s="58"/>
      <c r="E296" s="58"/>
      <c r="F296" s="58"/>
      <c r="G296" s="58"/>
      <c r="H296" s="59"/>
      <c r="I296" s="57"/>
      <c r="J296" s="60"/>
    </row>
    <row r="297" spans="1:10" s="61" customFormat="1" ht="25.5" customHeight="1" x14ac:dyDescent="0.2">
      <c r="A297" s="602" t="s">
        <v>331</v>
      </c>
      <c r="B297" s="603"/>
      <c r="C297" s="603"/>
      <c r="D297" s="603"/>
      <c r="E297" s="603"/>
      <c r="F297" s="603"/>
      <c r="G297" s="603"/>
      <c r="H297" s="603"/>
      <c r="I297" s="603"/>
      <c r="J297" s="604"/>
    </row>
    <row r="298" spans="1:10" ht="12.75" customHeight="1" x14ac:dyDescent="0.2">
      <c r="A298" s="90"/>
      <c r="B298" s="76"/>
      <c r="C298" s="75"/>
      <c r="D298" s="75"/>
      <c r="E298" s="75"/>
      <c r="F298" s="75"/>
      <c r="G298" s="75"/>
      <c r="H298" s="75"/>
      <c r="I298" s="75"/>
      <c r="J298" s="87"/>
    </row>
    <row r="299" spans="1:10" ht="12.75" customHeight="1" x14ac:dyDescent="0.2">
      <c r="A299" s="90"/>
      <c r="B299" s="607" t="s">
        <v>24</v>
      </c>
      <c r="C299" s="607"/>
      <c r="D299" s="607"/>
      <c r="E299" s="607"/>
      <c r="F299" s="607"/>
      <c r="G299" s="607"/>
      <c r="H299" s="607"/>
      <c r="I299" s="607"/>
      <c r="J299" s="98"/>
    </row>
    <row r="300" spans="1:10" ht="12.75" customHeight="1" thickBot="1" x14ac:dyDescent="0.25">
      <c r="A300" s="90"/>
      <c r="B300" s="173"/>
      <c r="C300" s="173"/>
      <c r="D300" s="173"/>
      <c r="E300" s="173"/>
      <c r="F300" s="173"/>
      <c r="G300" s="173"/>
      <c r="H300" s="173"/>
      <c r="I300" s="173"/>
      <c r="J300" s="87"/>
    </row>
    <row r="301" spans="1:10" ht="12.75" customHeight="1" thickBot="1" x14ac:dyDescent="0.25">
      <c r="A301" s="90"/>
      <c r="B301" s="74" t="s">
        <v>23</v>
      </c>
      <c r="C301" s="75"/>
      <c r="D301" s="605" t="s">
        <v>567</v>
      </c>
      <c r="E301" s="605"/>
      <c r="F301" s="605"/>
      <c r="G301" s="605"/>
      <c r="H301" s="605"/>
      <c r="I301" s="605"/>
      <c r="J301" s="127"/>
    </row>
    <row r="302" spans="1:10" x14ac:dyDescent="0.2">
      <c r="A302" s="90"/>
      <c r="B302" s="77"/>
      <c r="C302" s="75"/>
      <c r="D302" s="605"/>
      <c r="E302" s="605"/>
      <c r="F302" s="605"/>
      <c r="G302" s="605"/>
      <c r="H302" s="605"/>
      <c r="I302" s="605"/>
      <c r="J302" s="127"/>
    </row>
    <row r="303" spans="1:10" x14ac:dyDescent="0.2">
      <c r="A303" s="90"/>
      <c r="B303" s="77"/>
      <c r="C303" s="75"/>
      <c r="D303" s="605"/>
      <c r="E303" s="605"/>
      <c r="F303" s="605"/>
      <c r="G303" s="605"/>
      <c r="H303" s="605"/>
      <c r="I303" s="605"/>
      <c r="J303" s="127"/>
    </row>
    <row r="304" spans="1:10" ht="13.5" thickBot="1" x14ac:dyDescent="0.25">
      <c r="A304" s="90"/>
      <c r="B304" s="77"/>
      <c r="C304" s="75"/>
      <c r="D304" s="126"/>
      <c r="E304" s="126"/>
      <c r="F304" s="126"/>
      <c r="G304" s="126"/>
      <c r="H304" s="126"/>
      <c r="I304" s="126"/>
      <c r="J304" s="127"/>
    </row>
    <row r="305" spans="1:10" ht="12.75" customHeight="1" thickBot="1" x14ac:dyDescent="0.25">
      <c r="A305" s="90"/>
      <c r="B305" s="79" t="s">
        <v>23</v>
      </c>
      <c r="C305" s="75"/>
      <c r="D305" s="605" t="s">
        <v>358</v>
      </c>
      <c r="E305" s="605"/>
      <c r="F305" s="605"/>
      <c r="G305" s="605"/>
      <c r="H305" s="605"/>
      <c r="I305" s="605"/>
      <c r="J305" s="127"/>
    </row>
    <row r="306" spans="1:10" x14ac:dyDescent="0.2">
      <c r="A306" s="90"/>
      <c r="B306" s="76"/>
      <c r="C306" s="75"/>
      <c r="D306" s="605"/>
      <c r="E306" s="605"/>
      <c r="F306" s="605"/>
      <c r="G306" s="605"/>
      <c r="H306" s="605"/>
      <c r="I306" s="605"/>
      <c r="J306" s="87"/>
    </row>
    <row r="307" spans="1:10" x14ac:dyDescent="0.2">
      <c r="A307" s="90"/>
      <c r="B307" s="76"/>
      <c r="C307" s="75"/>
      <c r="D307" s="605"/>
      <c r="E307" s="605"/>
      <c r="F307" s="605"/>
      <c r="G307" s="605"/>
      <c r="H307" s="605"/>
      <c r="I307" s="605"/>
      <c r="J307" s="87"/>
    </row>
    <row r="308" spans="1:10" x14ac:dyDescent="0.2">
      <c r="A308" s="90"/>
      <c r="B308" s="76"/>
      <c r="C308" s="75"/>
      <c r="D308" s="605"/>
      <c r="E308" s="605"/>
      <c r="F308" s="605"/>
      <c r="G308" s="605"/>
      <c r="H308" s="605"/>
      <c r="I308" s="605"/>
      <c r="J308" s="87"/>
    </row>
    <row r="309" spans="1:10" ht="12.75" customHeight="1" x14ac:dyDescent="0.2">
      <c r="A309" s="90"/>
      <c r="B309" s="77"/>
      <c r="C309" s="75"/>
      <c r="D309" s="605"/>
      <c r="E309" s="605"/>
      <c r="F309" s="605"/>
      <c r="G309" s="605"/>
      <c r="H309" s="605"/>
      <c r="I309" s="605"/>
      <c r="J309" s="127"/>
    </row>
    <row r="310" spans="1:10" ht="13.5" thickBot="1" x14ac:dyDescent="0.25">
      <c r="A310" s="115"/>
      <c r="B310" s="116"/>
      <c r="C310" s="117"/>
      <c r="D310" s="129"/>
      <c r="E310" s="129"/>
      <c r="F310" s="129"/>
      <c r="G310" s="129"/>
      <c r="H310" s="129"/>
      <c r="I310" s="129"/>
      <c r="J310" s="127"/>
    </row>
    <row r="311" spans="1:10" ht="12.75" customHeight="1" thickBot="1" x14ac:dyDescent="0.25">
      <c r="A311" s="118"/>
      <c r="B311" s="79" t="s">
        <v>23</v>
      </c>
      <c r="C311" s="119"/>
      <c r="D311" s="613" t="s">
        <v>332</v>
      </c>
      <c r="E311" s="613"/>
      <c r="F311" s="613"/>
      <c r="G311" s="613"/>
      <c r="H311" s="613"/>
      <c r="I311" s="613"/>
      <c r="J311" s="120"/>
    </row>
    <row r="312" spans="1:10" ht="12.75" customHeight="1" x14ac:dyDescent="0.2">
      <c r="A312" s="118"/>
      <c r="B312" s="119"/>
      <c r="C312" s="119"/>
      <c r="D312" s="613"/>
      <c r="E312" s="613"/>
      <c r="F312" s="613"/>
      <c r="G312" s="613"/>
      <c r="H312" s="613"/>
      <c r="I312" s="613"/>
      <c r="J312" s="120"/>
    </row>
    <row r="313" spans="1:10" ht="12.75" customHeight="1" x14ac:dyDescent="0.2">
      <c r="A313" s="118"/>
      <c r="B313" s="119"/>
      <c r="C313" s="119"/>
      <c r="D313" s="613"/>
      <c r="E313" s="613"/>
      <c r="F313" s="613"/>
      <c r="G313" s="613"/>
      <c r="H313" s="613"/>
      <c r="I313" s="613"/>
      <c r="J313" s="120"/>
    </row>
    <row r="314" spans="1:10" ht="19.899999999999999" customHeight="1" x14ac:dyDescent="0.2">
      <c r="A314" s="118"/>
      <c r="B314" s="119"/>
      <c r="C314" s="119"/>
      <c r="D314" s="613"/>
      <c r="E314" s="613"/>
      <c r="F314" s="613"/>
      <c r="G314" s="613"/>
      <c r="H314" s="613"/>
      <c r="I314" s="613"/>
      <c r="J314" s="120"/>
    </row>
    <row r="315" spans="1:10" ht="22.15" customHeight="1" thickBot="1" x14ac:dyDescent="0.25">
      <c r="A315" s="121"/>
      <c r="B315" s="122"/>
      <c r="C315" s="122"/>
      <c r="D315" s="124"/>
      <c r="E315" s="124"/>
      <c r="F315" s="124"/>
      <c r="G315" s="124"/>
      <c r="H315" s="124"/>
      <c r="I315" s="124"/>
      <c r="J315" s="123"/>
    </row>
    <row r="316" spans="1:10" ht="12.75" customHeight="1" thickTop="1" x14ac:dyDescent="0.2"/>
  </sheetData>
  <sheetProtection password="E686" sheet="1" objects="1" scenarios="1" formatRows="0"/>
  <mergeCells count="209">
    <mergeCell ref="A268:J268"/>
    <mergeCell ref="A125:B125"/>
    <mergeCell ref="C125:D125"/>
    <mergeCell ref="C126:D126"/>
    <mergeCell ref="I119:J119"/>
    <mergeCell ref="C122:D122"/>
    <mergeCell ref="D104:I104"/>
    <mergeCell ref="A138:J141"/>
    <mergeCell ref="D143:J146"/>
    <mergeCell ref="C124:D124"/>
    <mergeCell ref="C120:D120"/>
    <mergeCell ref="E118:F118"/>
    <mergeCell ref="G118:H118"/>
    <mergeCell ref="A110:J113"/>
    <mergeCell ref="I118:J118"/>
    <mergeCell ref="G126:H126"/>
    <mergeCell ref="G124:H124"/>
    <mergeCell ref="I124:J124"/>
    <mergeCell ref="E124:F124"/>
    <mergeCell ref="I126:J126"/>
    <mergeCell ref="G121:H121"/>
    <mergeCell ref="A130:B130"/>
    <mergeCell ref="A131:B131"/>
    <mergeCell ref="A132:B132"/>
    <mergeCell ref="D311:I314"/>
    <mergeCell ref="D301:I303"/>
    <mergeCell ref="D305:I309"/>
    <mergeCell ref="A198:J214"/>
    <mergeCell ref="A297:J297"/>
    <mergeCell ref="B299:I299"/>
    <mergeCell ref="A279:J286"/>
    <mergeCell ref="A287:J287"/>
    <mergeCell ref="A288:J295"/>
    <mergeCell ref="B218:I219"/>
    <mergeCell ref="A277:J278"/>
    <mergeCell ref="A269:J276"/>
    <mergeCell ref="D233:H233"/>
    <mergeCell ref="D235:H235"/>
    <mergeCell ref="D239:I239"/>
    <mergeCell ref="D240:I240"/>
    <mergeCell ref="A242:J242"/>
    <mergeCell ref="A243:J250"/>
    <mergeCell ref="A251:J251"/>
    <mergeCell ref="A252:J258"/>
    <mergeCell ref="A259:J259"/>
    <mergeCell ref="A260:J267"/>
    <mergeCell ref="D231:I231"/>
    <mergeCell ref="D237:H237"/>
    <mergeCell ref="D98:I98"/>
    <mergeCell ref="D101:I101"/>
    <mergeCell ref="D163:I163"/>
    <mergeCell ref="E125:F125"/>
    <mergeCell ref="G125:H125"/>
    <mergeCell ref="I125:J125"/>
    <mergeCell ref="C114:D114"/>
    <mergeCell ref="E114:F114"/>
    <mergeCell ref="G114:H114"/>
    <mergeCell ref="I114:J114"/>
    <mergeCell ref="C123:D123"/>
    <mergeCell ref="E123:F123"/>
    <mergeCell ref="G123:H123"/>
    <mergeCell ref="I123:J123"/>
    <mergeCell ref="C115:D115"/>
    <mergeCell ref="E115:F115"/>
    <mergeCell ref="G115:H115"/>
    <mergeCell ref="I115:J115"/>
    <mergeCell ref="C118:D118"/>
    <mergeCell ref="G127:H127"/>
    <mergeCell ref="G128:H128"/>
    <mergeCell ref="G129:H129"/>
    <mergeCell ref="G130:H130"/>
    <mergeCell ref="G131:H131"/>
    <mergeCell ref="D100:I100"/>
    <mergeCell ref="D106:I106"/>
    <mergeCell ref="A114:B114"/>
    <mergeCell ref="A123:B123"/>
    <mergeCell ref="A115:B115"/>
    <mergeCell ref="A118:B118"/>
    <mergeCell ref="A122:B122"/>
    <mergeCell ref="E122:F122"/>
    <mergeCell ref="G122:H122"/>
    <mergeCell ref="I122:J122"/>
    <mergeCell ref="A119:B119"/>
    <mergeCell ref="C119:D119"/>
    <mergeCell ref="E119:F119"/>
    <mergeCell ref="G119:H119"/>
    <mergeCell ref="A121:B121"/>
    <mergeCell ref="C121:D121"/>
    <mergeCell ref="G117:H117"/>
    <mergeCell ref="I117:J117"/>
    <mergeCell ref="A120:B120"/>
    <mergeCell ref="E120:F120"/>
    <mergeCell ref="G120:H120"/>
    <mergeCell ref="I120:J120"/>
    <mergeCell ref="I121:J121"/>
    <mergeCell ref="E121:F121"/>
    <mergeCell ref="D164:I164"/>
    <mergeCell ref="E171:F171"/>
    <mergeCell ref="I171:J171"/>
    <mergeCell ref="D159:I159"/>
    <mergeCell ref="D161:H161"/>
    <mergeCell ref="D153:I153"/>
    <mergeCell ref="G171:H171"/>
    <mergeCell ref="B149:J151"/>
    <mergeCell ref="I132:J132"/>
    <mergeCell ref="I133:J133"/>
    <mergeCell ref="I134:J134"/>
    <mergeCell ref="A133:B133"/>
    <mergeCell ref="A134:B134"/>
    <mergeCell ref="C133:D133"/>
    <mergeCell ref="C134:D134"/>
    <mergeCell ref="C135:D135"/>
    <mergeCell ref="A135:B135"/>
    <mergeCell ref="A167:J170"/>
    <mergeCell ref="D155:H155"/>
    <mergeCell ref="G133:H133"/>
    <mergeCell ref="D157:H157"/>
    <mergeCell ref="E116:F116"/>
    <mergeCell ref="I129:J129"/>
    <mergeCell ref="I130:J130"/>
    <mergeCell ref="I131:J131"/>
    <mergeCell ref="D103:H103"/>
    <mergeCell ref="D107:I107"/>
    <mergeCell ref="C128:D128"/>
    <mergeCell ref="C129:D129"/>
    <mergeCell ref="C130:D130"/>
    <mergeCell ref="A172:B172"/>
    <mergeCell ref="C172:D172"/>
    <mergeCell ref="E172:F172"/>
    <mergeCell ref="E135:F135"/>
    <mergeCell ref="G135:H135"/>
    <mergeCell ref="I135:J135"/>
    <mergeCell ref="G116:H116"/>
    <mergeCell ref="I116:J116"/>
    <mergeCell ref="A117:B117"/>
    <mergeCell ref="C117:D117"/>
    <mergeCell ref="E117:F117"/>
    <mergeCell ref="C131:D131"/>
    <mergeCell ref="A124:B124"/>
    <mergeCell ref="C132:D132"/>
    <mergeCell ref="C127:D127"/>
    <mergeCell ref="G132:H132"/>
    <mergeCell ref="E126:F126"/>
    <mergeCell ref="E127:F127"/>
    <mergeCell ref="E128:F128"/>
    <mergeCell ref="E129:F129"/>
    <mergeCell ref="E130:F130"/>
    <mergeCell ref="E131:F131"/>
    <mergeCell ref="A116:B116"/>
    <mergeCell ref="C116:D116"/>
    <mergeCell ref="D227:H227"/>
    <mergeCell ref="A171:B171"/>
    <mergeCell ref="A173:J176"/>
    <mergeCell ref="D229:H229"/>
    <mergeCell ref="D60:H60"/>
    <mergeCell ref="D62:H62"/>
    <mergeCell ref="D64:I64"/>
    <mergeCell ref="D65:I65"/>
    <mergeCell ref="E132:F132"/>
    <mergeCell ref="E133:F133"/>
    <mergeCell ref="E134:F134"/>
    <mergeCell ref="I127:J127"/>
    <mergeCell ref="I128:J128"/>
    <mergeCell ref="D225:I225"/>
    <mergeCell ref="A137:J137"/>
    <mergeCell ref="A216:J216"/>
    <mergeCell ref="D221:H221"/>
    <mergeCell ref="D223:H223"/>
    <mergeCell ref="A194:J197"/>
    <mergeCell ref="G134:H134"/>
    <mergeCell ref="A177:J193"/>
    <mergeCell ref="G172:H172"/>
    <mergeCell ref="I172:J172"/>
    <mergeCell ref="C171:D171"/>
    <mergeCell ref="D50:I50"/>
    <mergeCell ref="A69:J72"/>
    <mergeCell ref="A68:J68"/>
    <mergeCell ref="D97:H97"/>
    <mergeCell ref="D85:J85"/>
    <mergeCell ref="D74:J84"/>
    <mergeCell ref="D91:I91"/>
    <mergeCell ref="B88:J89"/>
    <mergeCell ref="D92:I92"/>
    <mergeCell ref="D95:I95"/>
    <mergeCell ref="D94:H94"/>
    <mergeCell ref="A1:J2"/>
    <mergeCell ref="A3:J6"/>
    <mergeCell ref="A8:J18"/>
    <mergeCell ref="D20:J21"/>
    <mergeCell ref="A126:B126"/>
    <mergeCell ref="A127:B127"/>
    <mergeCell ref="A128:B128"/>
    <mergeCell ref="A129:B129"/>
    <mergeCell ref="D23:H23"/>
    <mergeCell ref="D26:H26"/>
    <mergeCell ref="D32:H32"/>
    <mergeCell ref="D34:H34"/>
    <mergeCell ref="D35:I35"/>
    <mergeCell ref="B28:H28"/>
    <mergeCell ref="B30:C30"/>
    <mergeCell ref="B52:C52"/>
    <mergeCell ref="D54:H54"/>
    <mergeCell ref="D56:H56"/>
    <mergeCell ref="D41:H41"/>
    <mergeCell ref="D45:H45"/>
    <mergeCell ref="D47:H47"/>
    <mergeCell ref="D49:I49"/>
    <mergeCell ref="D39:H39"/>
    <mergeCell ref="D58:H58"/>
  </mergeCells>
  <dataValidations count="4">
    <dataValidation type="list" allowBlank="1" showInputMessage="1" showErrorMessage="1" sqref="B311 B305 B301 B94 B91 B97 B100 B106 B85 B103 B143 B74 B62 B60 B58 B56 B54 B49 B45 B47 B43 B37 B34 B20 B39 B41 B32 B64 B161 B157 B153 B155 B159 B163 B233 B235 B231 B225 B227 B229 B221 B223 B237 B239">
      <formula1>check</formula1>
    </dataValidation>
    <dataValidation type="textLength" operator="lessThan" allowBlank="1" showInputMessage="1" showErrorMessage="1" errorTitle="Too Much Text" error="Provide a brief description using no more than 100 characters here.  A more full description should be included within the narrative (tab 9)." sqref="G279:J286 G288:J295 G269:J276 G260:J267 G198:J214 G177:J193 G243:J250 G252:J258">
      <formula1>101</formula1>
    </dataValidation>
    <dataValidation allowBlank="1" showInputMessage="1" showErrorMessage="1" promptTitle="Total Amount" prompt="Input the total amount of these funds being used to fund this individual's salary and benefits." sqref="F279:F286 F288:F295 F269:F276 F260:F267 F198:F214 F177:F193 F243:F250 F252:F258"/>
    <dataValidation type="list" allowBlank="1" showInputMessage="1" showErrorMessage="1" sqref="E279:E286 E288:E295 E269:E276 E260:E267 E198:E214 E177:E193 E243:E250 E252:E258">
      <formula1>program</formula1>
    </dataValidation>
  </dataValidations>
  <pageMargins left="0.75" right="0.75" top="1" bottom="1" header="0.5" footer="0.5"/>
  <pageSetup scale="80" fitToWidth="0" fitToHeight="0" orientation="landscape" r:id="rId1"/>
  <headerFooter alignWithMargins="0">
    <oddHeader>&amp;LFFY 2012 Consolidated Application&amp;C&amp;A&amp;R&amp;P of &amp;N</oddHeader>
  </headerFooter>
  <rowBreaks count="7" manualBreakCount="7">
    <brk id="40" max="9" man="1"/>
    <brk id="67" max="9" man="1"/>
    <brk id="136" max="9" man="1"/>
    <brk id="172" max="9" man="1"/>
    <brk id="215" max="9" man="1"/>
    <brk id="258" max="9" man="1"/>
    <brk id="296"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21"/>
  <sheetViews>
    <sheetView topLeftCell="A21" zoomScaleNormal="100" workbookViewId="0">
      <selection activeCell="A26" sqref="A26:J42"/>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624" t="s">
        <v>204</v>
      </c>
      <c r="B1" s="625"/>
      <c r="C1" s="625"/>
      <c r="D1" s="625"/>
      <c r="E1" s="625"/>
      <c r="F1" s="625"/>
      <c r="G1" s="625"/>
      <c r="H1" s="625"/>
      <c r="I1" s="625"/>
      <c r="J1" s="626"/>
    </row>
    <row r="2" spans="1:10" ht="12.75" customHeight="1" x14ac:dyDescent="0.2">
      <c r="A2" s="627"/>
      <c r="B2" s="628"/>
      <c r="C2" s="628"/>
      <c r="D2" s="628"/>
      <c r="E2" s="628"/>
      <c r="F2" s="628"/>
      <c r="G2" s="628"/>
      <c r="H2" s="628"/>
      <c r="I2" s="628"/>
      <c r="J2" s="629"/>
    </row>
    <row r="3" spans="1:10" ht="12.75" customHeight="1" x14ac:dyDescent="0.2">
      <c r="A3" s="543" t="s">
        <v>205</v>
      </c>
      <c r="B3" s="544"/>
      <c r="C3" s="544"/>
      <c r="D3" s="544"/>
      <c r="E3" s="544"/>
      <c r="F3" s="544"/>
      <c r="G3" s="544"/>
      <c r="H3" s="544"/>
      <c r="I3" s="544"/>
      <c r="J3" s="545"/>
    </row>
    <row r="4" spans="1:10" ht="12.75" customHeight="1" x14ac:dyDescent="0.2">
      <c r="A4" s="573"/>
      <c r="B4" s="574"/>
      <c r="C4" s="574"/>
      <c r="D4" s="574"/>
      <c r="E4" s="574"/>
      <c r="F4" s="574"/>
      <c r="G4" s="574"/>
      <c r="H4" s="574"/>
      <c r="I4" s="574"/>
      <c r="J4" s="575"/>
    </row>
    <row r="5" spans="1:10" ht="12.75" customHeight="1" x14ac:dyDescent="0.2">
      <c r="A5" s="546"/>
      <c r="B5" s="547"/>
      <c r="C5" s="547"/>
      <c r="D5" s="547"/>
      <c r="E5" s="547"/>
      <c r="F5" s="547"/>
      <c r="G5" s="547"/>
      <c r="H5" s="547"/>
      <c r="I5" s="547"/>
      <c r="J5" s="548"/>
    </row>
    <row r="6" spans="1:10" ht="12.75" customHeight="1" x14ac:dyDescent="0.2">
      <c r="A6" s="576" t="s">
        <v>207</v>
      </c>
      <c r="B6" s="577"/>
      <c r="C6" s="577"/>
      <c r="D6" s="577"/>
      <c r="E6" s="577"/>
      <c r="F6" s="577"/>
      <c r="G6" s="577"/>
      <c r="H6" s="577"/>
      <c r="I6" s="577"/>
      <c r="J6" s="578"/>
    </row>
    <row r="7" spans="1:10" ht="12.75" customHeight="1" x14ac:dyDescent="0.2">
      <c r="A7" s="579"/>
      <c r="B7" s="580"/>
      <c r="C7" s="580"/>
      <c r="D7" s="580"/>
      <c r="E7" s="580"/>
      <c r="F7" s="580"/>
      <c r="G7" s="580"/>
      <c r="H7" s="580"/>
      <c r="I7" s="580"/>
      <c r="J7" s="581"/>
    </row>
    <row r="8" spans="1:10" ht="12.75" customHeight="1" x14ac:dyDescent="0.2">
      <c r="A8" s="579"/>
      <c r="B8" s="580"/>
      <c r="C8" s="580"/>
      <c r="D8" s="580"/>
      <c r="E8" s="580"/>
      <c r="F8" s="580"/>
      <c r="G8" s="580"/>
      <c r="H8" s="580"/>
      <c r="I8" s="580"/>
      <c r="J8" s="581"/>
    </row>
    <row r="9" spans="1:10" ht="12.75" customHeight="1" x14ac:dyDescent="0.2">
      <c r="A9" s="579"/>
      <c r="B9" s="580"/>
      <c r="C9" s="580"/>
      <c r="D9" s="580"/>
      <c r="E9" s="580"/>
      <c r="F9" s="580"/>
      <c r="G9" s="580"/>
      <c r="H9" s="580"/>
      <c r="I9" s="580"/>
      <c r="J9" s="581"/>
    </row>
    <row r="10" spans="1:10" ht="12.75" customHeight="1" x14ac:dyDescent="0.2">
      <c r="A10" s="579"/>
      <c r="B10" s="580"/>
      <c r="C10" s="580"/>
      <c r="D10" s="580"/>
      <c r="E10" s="580"/>
      <c r="F10" s="580"/>
      <c r="G10" s="580"/>
      <c r="H10" s="580"/>
      <c r="I10" s="580"/>
      <c r="J10" s="581"/>
    </row>
    <row r="11" spans="1:10" ht="17.45" customHeight="1" x14ac:dyDescent="0.2">
      <c r="A11" s="579"/>
      <c r="B11" s="580"/>
      <c r="C11" s="580"/>
      <c r="D11" s="580"/>
      <c r="E11" s="580"/>
      <c r="F11" s="580"/>
      <c r="G11" s="580"/>
      <c r="H11" s="580"/>
      <c r="I11" s="580"/>
      <c r="J11" s="581"/>
    </row>
    <row r="12" spans="1:10" ht="12.75" customHeight="1" x14ac:dyDescent="0.2">
      <c r="A12" s="62"/>
      <c r="B12" s="63"/>
      <c r="C12" s="63"/>
      <c r="D12" s="63"/>
      <c r="E12" s="63"/>
      <c r="F12" s="63"/>
      <c r="G12" s="63"/>
      <c r="H12" s="63"/>
      <c r="I12" s="63"/>
      <c r="J12" s="64"/>
    </row>
    <row r="13" spans="1:10" ht="12.75" customHeight="1" x14ac:dyDescent="0.2">
      <c r="A13" s="630" t="s">
        <v>206</v>
      </c>
      <c r="B13" s="631"/>
      <c r="C13" s="631"/>
      <c r="D13" s="631"/>
      <c r="E13" s="631"/>
      <c r="F13" s="631"/>
      <c r="G13" s="631"/>
      <c r="H13" s="631"/>
      <c r="I13" s="631"/>
      <c r="J13" s="632"/>
    </row>
    <row r="14" spans="1:10" ht="12.75" customHeight="1" x14ac:dyDescent="0.2">
      <c r="A14" s="630"/>
      <c r="B14" s="631"/>
      <c r="C14" s="631"/>
      <c r="D14" s="631"/>
      <c r="E14" s="631"/>
      <c r="F14" s="631"/>
      <c r="G14" s="631"/>
      <c r="H14" s="631"/>
      <c r="I14" s="631"/>
      <c r="J14" s="632"/>
    </row>
    <row r="15" spans="1:10" ht="12.75" customHeight="1" x14ac:dyDescent="0.2">
      <c r="A15" s="630"/>
      <c r="B15" s="631"/>
      <c r="C15" s="631"/>
      <c r="D15" s="631"/>
      <c r="E15" s="631"/>
      <c r="F15" s="631"/>
      <c r="G15" s="631"/>
      <c r="H15" s="631"/>
      <c r="I15" s="631"/>
      <c r="J15" s="632"/>
    </row>
    <row r="16" spans="1:10" ht="12.75" customHeight="1" x14ac:dyDescent="0.2">
      <c r="A16" s="630"/>
      <c r="B16" s="631"/>
      <c r="C16" s="631"/>
      <c r="D16" s="631"/>
      <c r="E16" s="631"/>
      <c r="F16" s="631"/>
      <c r="G16" s="631"/>
      <c r="H16" s="631"/>
      <c r="I16" s="631"/>
      <c r="J16" s="632"/>
    </row>
    <row r="17" spans="1:10" ht="12.75" customHeight="1" x14ac:dyDescent="0.2">
      <c r="A17" s="65"/>
      <c r="B17" s="67"/>
      <c r="C17" s="67"/>
      <c r="D17" s="67"/>
      <c r="E17" s="67"/>
      <c r="F17" s="67"/>
      <c r="G17" s="67"/>
      <c r="H17" s="67"/>
      <c r="I17" s="67"/>
      <c r="J17" s="68"/>
    </row>
    <row r="18" spans="1:10" ht="12.75" customHeight="1" x14ac:dyDescent="0.2">
      <c r="A18" s="62"/>
      <c r="B18" s="63"/>
      <c r="C18" s="63"/>
      <c r="D18" s="63"/>
      <c r="E18" s="63"/>
      <c r="F18" s="63"/>
      <c r="G18" s="63"/>
      <c r="H18" s="63"/>
      <c r="I18" s="63"/>
      <c r="J18" s="64"/>
    </row>
    <row r="19" spans="1:10" s="61" customFormat="1" x14ac:dyDescent="0.2">
      <c r="A19" s="55"/>
      <c r="B19" s="56"/>
      <c r="C19" s="57"/>
      <c r="D19" s="58"/>
      <c r="E19" s="58"/>
      <c r="F19" s="58"/>
      <c r="G19" s="58"/>
      <c r="H19" s="59"/>
      <c r="I19" s="57"/>
      <c r="J19" s="60"/>
    </row>
    <row r="20" spans="1:10" s="61" customFormat="1" ht="25.5" customHeight="1" x14ac:dyDescent="0.2">
      <c r="A20" s="619" t="s">
        <v>194</v>
      </c>
      <c r="B20" s="620"/>
      <c r="C20" s="620"/>
      <c r="D20" s="620"/>
      <c r="E20" s="620"/>
      <c r="F20" s="621" t="s">
        <v>629</v>
      </c>
      <c r="G20" s="622"/>
      <c r="H20" s="622"/>
      <c r="I20" s="622"/>
      <c r="J20" s="623"/>
    </row>
    <row r="21" spans="1:10" s="61" customFormat="1" ht="12.75" customHeight="1" x14ac:dyDescent="0.2">
      <c r="A21" s="348" t="s">
        <v>510</v>
      </c>
      <c r="B21" s="349"/>
      <c r="C21" s="349"/>
      <c r="D21" s="349"/>
      <c r="E21" s="349"/>
      <c r="F21" s="614">
        <v>0.98</v>
      </c>
      <c r="G21" s="614"/>
      <c r="H21" s="614"/>
      <c r="I21" s="614"/>
      <c r="J21" s="615"/>
    </row>
    <row r="22" spans="1:10" ht="12.75" customHeight="1" x14ac:dyDescent="0.2">
      <c r="A22" s="593" t="s">
        <v>367</v>
      </c>
      <c r="B22" s="594"/>
      <c r="C22" s="594"/>
      <c r="D22" s="594"/>
      <c r="E22" s="594"/>
      <c r="F22" s="594"/>
      <c r="G22" s="594"/>
      <c r="H22" s="594"/>
      <c r="I22" s="594"/>
      <c r="J22" s="595"/>
    </row>
    <row r="23" spans="1:10" ht="12.75" customHeight="1" x14ac:dyDescent="0.2">
      <c r="A23" s="596"/>
      <c r="B23" s="597"/>
      <c r="C23" s="597"/>
      <c r="D23" s="597"/>
      <c r="E23" s="597"/>
      <c r="F23" s="597"/>
      <c r="G23" s="597"/>
      <c r="H23" s="597"/>
      <c r="I23" s="597"/>
      <c r="J23" s="598"/>
    </row>
    <row r="24" spans="1:10" ht="12.75" customHeight="1" x14ac:dyDescent="0.2">
      <c r="A24" s="596"/>
      <c r="B24" s="597"/>
      <c r="C24" s="597"/>
      <c r="D24" s="597"/>
      <c r="E24" s="597"/>
      <c r="F24" s="597"/>
      <c r="G24" s="597"/>
      <c r="H24" s="597"/>
      <c r="I24" s="597"/>
      <c r="J24" s="598"/>
    </row>
    <row r="25" spans="1:10" ht="15" customHeight="1" x14ac:dyDescent="0.2">
      <c r="A25" s="599"/>
      <c r="B25" s="600"/>
      <c r="C25" s="600"/>
      <c r="D25" s="600"/>
      <c r="E25" s="600"/>
      <c r="F25" s="600"/>
      <c r="G25" s="600"/>
      <c r="H25" s="600"/>
      <c r="I25" s="600"/>
      <c r="J25" s="601"/>
    </row>
    <row r="26" spans="1:10" ht="12.75" customHeight="1" x14ac:dyDescent="0.2">
      <c r="A26" s="610" t="s">
        <v>667</v>
      </c>
      <c r="B26" s="611"/>
      <c r="C26" s="611"/>
      <c r="D26" s="611"/>
      <c r="E26" s="611"/>
      <c r="F26" s="611"/>
      <c r="G26" s="611"/>
      <c r="H26" s="611"/>
      <c r="I26" s="611"/>
      <c r="J26" s="612"/>
    </row>
    <row r="27" spans="1:10" ht="12.75" customHeight="1" x14ac:dyDescent="0.2">
      <c r="A27" s="610"/>
      <c r="B27" s="611"/>
      <c r="C27" s="611"/>
      <c r="D27" s="611"/>
      <c r="E27" s="611"/>
      <c r="F27" s="611"/>
      <c r="G27" s="611"/>
      <c r="H27" s="611"/>
      <c r="I27" s="611"/>
      <c r="J27" s="612"/>
    </row>
    <row r="28" spans="1:10" ht="12.75" customHeight="1" x14ac:dyDescent="0.2">
      <c r="A28" s="610"/>
      <c r="B28" s="611"/>
      <c r="C28" s="611"/>
      <c r="D28" s="611"/>
      <c r="E28" s="611"/>
      <c r="F28" s="611"/>
      <c r="G28" s="611"/>
      <c r="H28" s="611"/>
      <c r="I28" s="611"/>
      <c r="J28" s="612"/>
    </row>
    <row r="29" spans="1:10" ht="12.75" customHeight="1" x14ac:dyDescent="0.2">
      <c r="A29" s="610"/>
      <c r="B29" s="611"/>
      <c r="C29" s="611"/>
      <c r="D29" s="611"/>
      <c r="E29" s="611"/>
      <c r="F29" s="611"/>
      <c r="G29" s="611"/>
      <c r="H29" s="611"/>
      <c r="I29" s="611"/>
      <c r="J29" s="612"/>
    </row>
    <row r="30" spans="1:10" ht="12.75" customHeight="1" x14ac:dyDescent="0.2">
      <c r="A30" s="610"/>
      <c r="B30" s="611"/>
      <c r="C30" s="611"/>
      <c r="D30" s="611"/>
      <c r="E30" s="611"/>
      <c r="F30" s="611"/>
      <c r="G30" s="611"/>
      <c r="H30" s="611"/>
      <c r="I30" s="611"/>
      <c r="J30" s="612"/>
    </row>
    <row r="31" spans="1:10" ht="12.75" customHeight="1" x14ac:dyDescent="0.2">
      <c r="A31" s="610"/>
      <c r="B31" s="611"/>
      <c r="C31" s="611"/>
      <c r="D31" s="611"/>
      <c r="E31" s="611"/>
      <c r="F31" s="611"/>
      <c r="G31" s="611"/>
      <c r="H31" s="611"/>
      <c r="I31" s="611"/>
      <c r="J31" s="612"/>
    </row>
    <row r="32" spans="1:10" ht="12.75" customHeight="1" x14ac:dyDescent="0.2">
      <c r="A32" s="610"/>
      <c r="B32" s="611"/>
      <c r="C32" s="611"/>
      <c r="D32" s="611"/>
      <c r="E32" s="611"/>
      <c r="F32" s="611"/>
      <c r="G32" s="611"/>
      <c r="H32" s="611"/>
      <c r="I32" s="611"/>
      <c r="J32" s="612"/>
    </row>
    <row r="33" spans="1:10" ht="12.75" customHeight="1" x14ac:dyDescent="0.2">
      <c r="A33" s="610"/>
      <c r="B33" s="611"/>
      <c r="C33" s="611"/>
      <c r="D33" s="611"/>
      <c r="E33" s="611"/>
      <c r="F33" s="611"/>
      <c r="G33" s="611"/>
      <c r="H33" s="611"/>
      <c r="I33" s="611"/>
      <c r="J33" s="612"/>
    </row>
    <row r="34" spans="1:10" ht="12.75" customHeight="1" x14ac:dyDescent="0.2">
      <c r="A34" s="610"/>
      <c r="B34" s="611"/>
      <c r="C34" s="611"/>
      <c r="D34" s="611"/>
      <c r="E34" s="611"/>
      <c r="F34" s="611"/>
      <c r="G34" s="611"/>
      <c r="H34" s="611"/>
      <c r="I34" s="611"/>
      <c r="J34" s="612"/>
    </row>
    <row r="35" spans="1:10" ht="12.75" customHeight="1" x14ac:dyDescent="0.2">
      <c r="A35" s="610"/>
      <c r="B35" s="611"/>
      <c r="C35" s="611"/>
      <c r="D35" s="611"/>
      <c r="E35" s="611"/>
      <c r="F35" s="611"/>
      <c r="G35" s="611"/>
      <c r="H35" s="611"/>
      <c r="I35" s="611"/>
      <c r="J35" s="612"/>
    </row>
    <row r="36" spans="1:10" ht="12.75" customHeight="1" x14ac:dyDescent="0.2">
      <c r="A36" s="610"/>
      <c r="B36" s="611"/>
      <c r="C36" s="611"/>
      <c r="D36" s="611"/>
      <c r="E36" s="611"/>
      <c r="F36" s="611"/>
      <c r="G36" s="611"/>
      <c r="H36" s="611"/>
      <c r="I36" s="611"/>
      <c r="J36" s="612"/>
    </row>
    <row r="37" spans="1:10" ht="12.75" customHeight="1" x14ac:dyDescent="0.2">
      <c r="A37" s="610"/>
      <c r="B37" s="611"/>
      <c r="C37" s="611"/>
      <c r="D37" s="611"/>
      <c r="E37" s="611"/>
      <c r="F37" s="611"/>
      <c r="G37" s="611"/>
      <c r="H37" s="611"/>
      <c r="I37" s="611"/>
      <c r="J37" s="612"/>
    </row>
    <row r="38" spans="1:10" ht="12.75" customHeight="1" x14ac:dyDescent="0.2">
      <c r="A38" s="610"/>
      <c r="B38" s="611"/>
      <c r="C38" s="611"/>
      <c r="D38" s="611"/>
      <c r="E38" s="611"/>
      <c r="F38" s="611"/>
      <c r="G38" s="611"/>
      <c r="H38" s="611"/>
      <c r="I38" s="611"/>
      <c r="J38" s="612"/>
    </row>
    <row r="39" spans="1:10" ht="12.75" customHeight="1" x14ac:dyDescent="0.2">
      <c r="A39" s="610"/>
      <c r="B39" s="611"/>
      <c r="C39" s="611"/>
      <c r="D39" s="611"/>
      <c r="E39" s="611"/>
      <c r="F39" s="611"/>
      <c r="G39" s="611"/>
      <c r="H39" s="611"/>
      <c r="I39" s="611"/>
      <c r="J39" s="612"/>
    </row>
    <row r="40" spans="1:10" ht="12.75" customHeight="1" x14ac:dyDescent="0.2">
      <c r="A40" s="610"/>
      <c r="B40" s="611"/>
      <c r="C40" s="611"/>
      <c r="D40" s="611"/>
      <c r="E40" s="611"/>
      <c r="F40" s="611"/>
      <c r="G40" s="611"/>
      <c r="H40" s="611"/>
      <c r="I40" s="611"/>
      <c r="J40" s="612"/>
    </row>
    <row r="41" spans="1:10" ht="12.75" customHeight="1" x14ac:dyDescent="0.2">
      <c r="A41" s="610"/>
      <c r="B41" s="611"/>
      <c r="C41" s="611"/>
      <c r="D41" s="611"/>
      <c r="E41" s="611"/>
      <c r="F41" s="611"/>
      <c r="G41" s="611"/>
      <c r="H41" s="611"/>
      <c r="I41" s="611"/>
      <c r="J41" s="612"/>
    </row>
    <row r="42" spans="1:10" ht="12.75" customHeight="1" x14ac:dyDescent="0.2">
      <c r="A42" s="610"/>
      <c r="B42" s="611"/>
      <c r="C42" s="611"/>
      <c r="D42" s="611"/>
      <c r="E42" s="611"/>
      <c r="F42" s="611"/>
      <c r="G42" s="611"/>
      <c r="H42" s="611"/>
      <c r="I42" s="611"/>
      <c r="J42" s="612"/>
    </row>
    <row r="43" spans="1:10" s="61" customFormat="1" x14ac:dyDescent="0.2">
      <c r="A43" s="55"/>
      <c r="B43" s="56"/>
      <c r="C43" s="57"/>
      <c r="D43" s="58"/>
      <c r="E43" s="58"/>
      <c r="F43" s="58"/>
      <c r="G43" s="58"/>
      <c r="H43" s="59"/>
      <c r="I43" s="57"/>
      <c r="J43" s="60"/>
    </row>
    <row r="44" spans="1:10" s="61" customFormat="1" ht="25.5" customHeight="1" x14ac:dyDescent="0.2">
      <c r="A44" s="619" t="s">
        <v>203</v>
      </c>
      <c r="B44" s="620"/>
      <c r="C44" s="620"/>
      <c r="D44" s="620"/>
      <c r="E44" s="620"/>
      <c r="F44" s="621" t="s">
        <v>640</v>
      </c>
      <c r="G44" s="622"/>
      <c r="H44" s="622"/>
      <c r="I44" s="622"/>
      <c r="J44" s="623"/>
    </row>
    <row r="45" spans="1:10" s="61" customFormat="1" ht="12.75" customHeight="1" x14ac:dyDescent="0.2">
      <c r="A45" s="348" t="s">
        <v>510</v>
      </c>
      <c r="B45" s="349"/>
      <c r="C45" s="349"/>
      <c r="D45" s="349"/>
      <c r="E45" s="349"/>
      <c r="F45" s="614">
        <v>0.02</v>
      </c>
      <c r="G45" s="614"/>
      <c r="H45" s="614"/>
      <c r="I45" s="614"/>
      <c r="J45" s="615"/>
    </row>
    <row r="46" spans="1:10" ht="12.75" customHeight="1" x14ac:dyDescent="0.2">
      <c r="A46" s="593" t="s">
        <v>367</v>
      </c>
      <c r="B46" s="594"/>
      <c r="C46" s="594"/>
      <c r="D46" s="594"/>
      <c r="E46" s="594"/>
      <c r="F46" s="594"/>
      <c r="G46" s="594"/>
      <c r="H46" s="594"/>
      <c r="I46" s="594"/>
      <c r="J46" s="595"/>
    </row>
    <row r="47" spans="1:10" ht="12.75" customHeight="1" x14ac:dyDescent="0.2">
      <c r="A47" s="596"/>
      <c r="B47" s="597"/>
      <c r="C47" s="597"/>
      <c r="D47" s="597"/>
      <c r="E47" s="597"/>
      <c r="F47" s="597"/>
      <c r="G47" s="597"/>
      <c r="H47" s="597"/>
      <c r="I47" s="597"/>
      <c r="J47" s="598"/>
    </row>
    <row r="48" spans="1:10" ht="12.75" customHeight="1" x14ac:dyDescent="0.2">
      <c r="A48" s="596"/>
      <c r="B48" s="597"/>
      <c r="C48" s="597"/>
      <c r="D48" s="597"/>
      <c r="E48" s="597"/>
      <c r="F48" s="597"/>
      <c r="G48" s="597"/>
      <c r="H48" s="597"/>
      <c r="I48" s="597"/>
      <c r="J48" s="598"/>
    </row>
    <row r="49" spans="1:10" ht="15" customHeight="1" x14ac:dyDescent="0.2">
      <c r="A49" s="599"/>
      <c r="B49" s="600"/>
      <c r="C49" s="600"/>
      <c r="D49" s="600"/>
      <c r="E49" s="600"/>
      <c r="F49" s="600"/>
      <c r="G49" s="600"/>
      <c r="H49" s="600"/>
      <c r="I49" s="600"/>
      <c r="J49" s="601"/>
    </row>
    <row r="50" spans="1:10" ht="12.75" customHeight="1" x14ac:dyDescent="0.2">
      <c r="A50" s="610" t="s">
        <v>641</v>
      </c>
      <c r="B50" s="611"/>
      <c r="C50" s="611"/>
      <c r="D50" s="611"/>
      <c r="E50" s="611"/>
      <c r="F50" s="611"/>
      <c r="G50" s="611"/>
      <c r="H50" s="611"/>
      <c r="I50" s="611"/>
      <c r="J50" s="612"/>
    </row>
    <row r="51" spans="1:10" ht="12.75" customHeight="1" x14ac:dyDescent="0.2">
      <c r="A51" s="610"/>
      <c r="B51" s="611"/>
      <c r="C51" s="611"/>
      <c r="D51" s="611"/>
      <c r="E51" s="611"/>
      <c r="F51" s="611"/>
      <c r="G51" s="611"/>
      <c r="H51" s="611"/>
      <c r="I51" s="611"/>
      <c r="J51" s="612"/>
    </row>
    <row r="52" spans="1:10" ht="12.75" customHeight="1" x14ac:dyDescent="0.2">
      <c r="A52" s="610"/>
      <c r="B52" s="611"/>
      <c r="C52" s="611"/>
      <c r="D52" s="611"/>
      <c r="E52" s="611"/>
      <c r="F52" s="611"/>
      <c r="G52" s="611"/>
      <c r="H52" s="611"/>
      <c r="I52" s="611"/>
      <c r="J52" s="612"/>
    </row>
    <row r="53" spans="1:10" ht="12.75" customHeight="1" x14ac:dyDescent="0.2">
      <c r="A53" s="610"/>
      <c r="B53" s="611"/>
      <c r="C53" s="611"/>
      <c r="D53" s="611"/>
      <c r="E53" s="611"/>
      <c r="F53" s="611"/>
      <c r="G53" s="611"/>
      <c r="H53" s="611"/>
      <c r="I53" s="611"/>
      <c r="J53" s="612"/>
    </row>
    <row r="54" spans="1:10" ht="12.75" customHeight="1" x14ac:dyDescent="0.2">
      <c r="A54" s="610"/>
      <c r="B54" s="611"/>
      <c r="C54" s="611"/>
      <c r="D54" s="611"/>
      <c r="E54" s="611"/>
      <c r="F54" s="611"/>
      <c r="G54" s="611"/>
      <c r="H54" s="611"/>
      <c r="I54" s="611"/>
      <c r="J54" s="612"/>
    </row>
    <row r="55" spans="1:10" ht="12.75" customHeight="1" x14ac:dyDescent="0.2">
      <c r="A55" s="610"/>
      <c r="B55" s="611"/>
      <c r="C55" s="611"/>
      <c r="D55" s="611"/>
      <c r="E55" s="611"/>
      <c r="F55" s="611"/>
      <c r="G55" s="611"/>
      <c r="H55" s="611"/>
      <c r="I55" s="611"/>
      <c r="J55" s="612"/>
    </row>
    <row r="56" spans="1:10" ht="12.75" customHeight="1" x14ac:dyDescent="0.2">
      <c r="A56" s="610"/>
      <c r="B56" s="611"/>
      <c r="C56" s="611"/>
      <c r="D56" s="611"/>
      <c r="E56" s="611"/>
      <c r="F56" s="611"/>
      <c r="G56" s="611"/>
      <c r="H56" s="611"/>
      <c r="I56" s="611"/>
      <c r="J56" s="612"/>
    </row>
    <row r="57" spans="1:10" ht="12.75" customHeight="1" x14ac:dyDescent="0.2">
      <c r="A57" s="610"/>
      <c r="B57" s="611"/>
      <c r="C57" s="611"/>
      <c r="D57" s="611"/>
      <c r="E57" s="611"/>
      <c r="F57" s="611"/>
      <c r="G57" s="611"/>
      <c r="H57" s="611"/>
      <c r="I57" s="611"/>
      <c r="J57" s="612"/>
    </row>
    <row r="58" spans="1:10" ht="12.75" customHeight="1" x14ac:dyDescent="0.2">
      <c r="A58" s="610"/>
      <c r="B58" s="611"/>
      <c r="C58" s="611"/>
      <c r="D58" s="611"/>
      <c r="E58" s="611"/>
      <c r="F58" s="611"/>
      <c r="G58" s="611"/>
      <c r="H58" s="611"/>
      <c r="I58" s="611"/>
      <c r="J58" s="612"/>
    </row>
    <row r="59" spans="1:10" ht="12.75" customHeight="1" x14ac:dyDescent="0.2">
      <c r="A59" s="610"/>
      <c r="B59" s="611"/>
      <c r="C59" s="611"/>
      <c r="D59" s="611"/>
      <c r="E59" s="611"/>
      <c r="F59" s="611"/>
      <c r="G59" s="611"/>
      <c r="H59" s="611"/>
      <c r="I59" s="611"/>
      <c r="J59" s="612"/>
    </row>
    <row r="60" spans="1:10" ht="12.75" customHeight="1" x14ac:dyDescent="0.2">
      <c r="A60" s="610"/>
      <c r="B60" s="611"/>
      <c r="C60" s="611"/>
      <c r="D60" s="611"/>
      <c r="E60" s="611"/>
      <c r="F60" s="611"/>
      <c r="G60" s="611"/>
      <c r="H60" s="611"/>
      <c r="I60" s="611"/>
      <c r="J60" s="612"/>
    </row>
    <row r="61" spans="1:10" ht="12.75" customHeight="1" x14ac:dyDescent="0.2">
      <c r="A61" s="610"/>
      <c r="B61" s="611"/>
      <c r="C61" s="611"/>
      <c r="D61" s="611"/>
      <c r="E61" s="611"/>
      <c r="F61" s="611"/>
      <c r="G61" s="611"/>
      <c r="H61" s="611"/>
      <c r="I61" s="611"/>
      <c r="J61" s="612"/>
    </row>
    <row r="62" spans="1:10" ht="12.75" customHeight="1" x14ac:dyDescent="0.2">
      <c r="A62" s="610"/>
      <c r="B62" s="611"/>
      <c r="C62" s="611"/>
      <c r="D62" s="611"/>
      <c r="E62" s="611"/>
      <c r="F62" s="611"/>
      <c r="G62" s="611"/>
      <c r="H62" s="611"/>
      <c r="I62" s="611"/>
      <c r="J62" s="612"/>
    </row>
    <row r="63" spans="1:10" ht="12.75" customHeight="1" x14ac:dyDescent="0.2">
      <c r="A63" s="610"/>
      <c r="B63" s="611"/>
      <c r="C63" s="611"/>
      <c r="D63" s="611"/>
      <c r="E63" s="611"/>
      <c r="F63" s="611"/>
      <c r="G63" s="611"/>
      <c r="H63" s="611"/>
      <c r="I63" s="611"/>
      <c r="J63" s="612"/>
    </row>
    <row r="64" spans="1:10" ht="12.75" customHeight="1" x14ac:dyDescent="0.2">
      <c r="A64" s="610"/>
      <c r="B64" s="611"/>
      <c r="C64" s="611"/>
      <c r="D64" s="611"/>
      <c r="E64" s="611"/>
      <c r="F64" s="611"/>
      <c r="G64" s="611"/>
      <c r="H64" s="611"/>
      <c r="I64" s="611"/>
      <c r="J64" s="612"/>
    </row>
    <row r="65" spans="1:10" ht="12.75" customHeight="1" x14ac:dyDescent="0.2">
      <c r="A65" s="610"/>
      <c r="B65" s="611"/>
      <c r="C65" s="611"/>
      <c r="D65" s="611"/>
      <c r="E65" s="611"/>
      <c r="F65" s="611"/>
      <c r="G65" s="611"/>
      <c r="H65" s="611"/>
      <c r="I65" s="611"/>
      <c r="J65" s="612"/>
    </row>
    <row r="66" spans="1:10" ht="12.75" customHeight="1" x14ac:dyDescent="0.2">
      <c r="A66" s="610"/>
      <c r="B66" s="611"/>
      <c r="C66" s="611"/>
      <c r="D66" s="611"/>
      <c r="E66" s="611"/>
      <c r="F66" s="611"/>
      <c r="G66" s="611"/>
      <c r="H66" s="611"/>
      <c r="I66" s="611"/>
      <c r="J66" s="612"/>
    </row>
    <row r="67" spans="1:10" ht="12.75" customHeight="1" x14ac:dyDescent="0.2">
      <c r="A67" s="610"/>
      <c r="B67" s="611"/>
      <c r="C67" s="611"/>
      <c r="D67" s="611"/>
      <c r="E67" s="611"/>
      <c r="F67" s="611"/>
      <c r="G67" s="611"/>
      <c r="H67" s="611"/>
      <c r="I67" s="611"/>
      <c r="J67" s="612"/>
    </row>
    <row r="68" spans="1:10" ht="12.75" customHeight="1" x14ac:dyDescent="0.2">
      <c r="A68" s="610"/>
      <c r="B68" s="611"/>
      <c r="C68" s="611"/>
      <c r="D68" s="611"/>
      <c r="E68" s="611"/>
      <c r="F68" s="611"/>
      <c r="G68" s="611"/>
      <c r="H68" s="611"/>
      <c r="I68" s="611"/>
      <c r="J68" s="612"/>
    </row>
    <row r="69" spans="1:10" ht="12.75" customHeight="1" x14ac:dyDescent="0.2">
      <c r="A69" s="610"/>
      <c r="B69" s="611"/>
      <c r="C69" s="611"/>
      <c r="D69" s="611"/>
      <c r="E69" s="611"/>
      <c r="F69" s="611"/>
      <c r="G69" s="611"/>
      <c r="H69" s="611"/>
      <c r="I69" s="611"/>
      <c r="J69" s="612"/>
    </row>
    <row r="70" spans="1:10" ht="12.75" customHeight="1" x14ac:dyDescent="0.2">
      <c r="A70" s="610"/>
      <c r="B70" s="611"/>
      <c r="C70" s="611"/>
      <c r="D70" s="611"/>
      <c r="E70" s="611"/>
      <c r="F70" s="611"/>
      <c r="G70" s="611"/>
      <c r="H70" s="611"/>
      <c r="I70" s="611"/>
      <c r="J70" s="612"/>
    </row>
    <row r="71" spans="1:10" ht="12.75" customHeight="1" x14ac:dyDescent="0.2">
      <c r="A71" s="610"/>
      <c r="B71" s="611"/>
      <c r="C71" s="611"/>
      <c r="D71" s="611"/>
      <c r="E71" s="611"/>
      <c r="F71" s="611"/>
      <c r="G71" s="611"/>
      <c r="H71" s="611"/>
      <c r="I71" s="611"/>
      <c r="J71" s="612"/>
    </row>
    <row r="72" spans="1:10" ht="12.75" customHeight="1" x14ac:dyDescent="0.2">
      <c r="A72" s="610"/>
      <c r="B72" s="611"/>
      <c r="C72" s="611"/>
      <c r="D72" s="611"/>
      <c r="E72" s="611"/>
      <c r="F72" s="611"/>
      <c r="G72" s="611"/>
      <c r="H72" s="611"/>
      <c r="I72" s="611"/>
      <c r="J72" s="612"/>
    </row>
    <row r="73" spans="1:10" ht="12.75" customHeight="1" x14ac:dyDescent="0.2">
      <c r="A73" s="610"/>
      <c r="B73" s="611"/>
      <c r="C73" s="611"/>
      <c r="D73" s="611"/>
      <c r="E73" s="611"/>
      <c r="F73" s="611"/>
      <c r="G73" s="611"/>
      <c r="H73" s="611"/>
      <c r="I73" s="611"/>
      <c r="J73" s="612"/>
    </row>
    <row r="74" spans="1:10" ht="12.75" customHeight="1" x14ac:dyDescent="0.2">
      <c r="A74" s="610"/>
      <c r="B74" s="611"/>
      <c r="C74" s="611"/>
      <c r="D74" s="611"/>
      <c r="E74" s="611"/>
      <c r="F74" s="611"/>
      <c r="G74" s="611"/>
      <c r="H74" s="611"/>
      <c r="I74" s="611"/>
      <c r="J74" s="612"/>
    </row>
    <row r="75" spans="1:10" ht="12.75" customHeight="1" x14ac:dyDescent="0.2">
      <c r="A75" s="610"/>
      <c r="B75" s="611"/>
      <c r="C75" s="611"/>
      <c r="D75" s="611"/>
      <c r="E75" s="611"/>
      <c r="F75" s="611"/>
      <c r="G75" s="611"/>
      <c r="H75" s="611"/>
      <c r="I75" s="611"/>
      <c r="J75" s="612"/>
    </row>
    <row r="76" spans="1:10" ht="12.75" customHeight="1" x14ac:dyDescent="0.2">
      <c r="A76" s="610"/>
      <c r="B76" s="611"/>
      <c r="C76" s="611"/>
      <c r="D76" s="611"/>
      <c r="E76" s="611"/>
      <c r="F76" s="611"/>
      <c r="G76" s="611"/>
      <c r="H76" s="611"/>
      <c r="I76" s="611"/>
      <c r="J76" s="612"/>
    </row>
    <row r="77" spans="1:10" ht="12.75" customHeight="1" x14ac:dyDescent="0.2">
      <c r="A77" s="610"/>
      <c r="B77" s="611"/>
      <c r="C77" s="611"/>
      <c r="D77" s="611"/>
      <c r="E77" s="611"/>
      <c r="F77" s="611"/>
      <c r="G77" s="611"/>
      <c r="H77" s="611"/>
      <c r="I77" s="611"/>
      <c r="J77" s="612"/>
    </row>
    <row r="78" spans="1:10" ht="12.75" customHeight="1" x14ac:dyDescent="0.2">
      <c r="A78" s="610"/>
      <c r="B78" s="611"/>
      <c r="C78" s="611"/>
      <c r="D78" s="611"/>
      <c r="E78" s="611"/>
      <c r="F78" s="611"/>
      <c r="G78" s="611"/>
      <c r="H78" s="611"/>
      <c r="I78" s="611"/>
      <c r="J78" s="612"/>
    </row>
    <row r="79" spans="1:10" ht="12.75" customHeight="1" x14ac:dyDescent="0.2">
      <c r="A79" s="610"/>
      <c r="B79" s="611"/>
      <c r="C79" s="611"/>
      <c r="D79" s="611"/>
      <c r="E79" s="611"/>
      <c r="F79" s="611"/>
      <c r="G79" s="611"/>
      <c r="H79" s="611"/>
      <c r="I79" s="611"/>
      <c r="J79" s="612"/>
    </row>
    <row r="80" spans="1:10" ht="12.75" customHeight="1" x14ac:dyDescent="0.2">
      <c r="A80" s="610"/>
      <c r="B80" s="611"/>
      <c r="C80" s="611"/>
      <c r="D80" s="611"/>
      <c r="E80" s="611"/>
      <c r="F80" s="611"/>
      <c r="G80" s="611"/>
      <c r="H80" s="611"/>
      <c r="I80" s="611"/>
      <c r="J80" s="612"/>
    </row>
    <row r="81" spans="1:10" ht="12.75" customHeight="1" x14ac:dyDescent="0.2">
      <c r="A81" s="610"/>
      <c r="B81" s="611"/>
      <c r="C81" s="611"/>
      <c r="D81" s="611"/>
      <c r="E81" s="611"/>
      <c r="F81" s="611"/>
      <c r="G81" s="611"/>
      <c r="H81" s="611"/>
      <c r="I81" s="611"/>
      <c r="J81" s="612"/>
    </row>
    <row r="82" spans="1:10" ht="12.75" customHeight="1" x14ac:dyDescent="0.2">
      <c r="A82" s="610"/>
      <c r="B82" s="611"/>
      <c r="C82" s="611"/>
      <c r="D82" s="611"/>
      <c r="E82" s="611"/>
      <c r="F82" s="611"/>
      <c r="G82" s="611"/>
      <c r="H82" s="611"/>
      <c r="I82" s="611"/>
      <c r="J82" s="612"/>
    </row>
    <row r="83" spans="1:10" ht="12.75" customHeight="1" x14ac:dyDescent="0.2">
      <c r="A83" s="610"/>
      <c r="B83" s="611"/>
      <c r="C83" s="611"/>
      <c r="D83" s="611"/>
      <c r="E83" s="611"/>
      <c r="F83" s="611"/>
      <c r="G83" s="611"/>
      <c r="H83" s="611"/>
      <c r="I83" s="611"/>
      <c r="J83" s="612"/>
    </row>
    <row r="84" spans="1:10" ht="12.75" customHeight="1" x14ac:dyDescent="0.2">
      <c r="A84" s="610"/>
      <c r="B84" s="611"/>
      <c r="C84" s="611"/>
      <c r="D84" s="611"/>
      <c r="E84" s="611"/>
      <c r="F84" s="611"/>
      <c r="G84" s="611"/>
      <c r="H84" s="611"/>
      <c r="I84" s="611"/>
      <c r="J84" s="612"/>
    </row>
    <row r="85" spans="1:10" s="61" customFormat="1" x14ac:dyDescent="0.2">
      <c r="A85" s="55"/>
      <c r="B85" s="56"/>
      <c r="C85" s="57"/>
      <c r="D85" s="58"/>
      <c r="E85" s="58"/>
      <c r="F85" s="58"/>
      <c r="G85" s="58"/>
      <c r="H85" s="59"/>
      <c r="I85" s="57"/>
      <c r="J85" s="60"/>
    </row>
    <row r="86" spans="1:10" s="61" customFormat="1" ht="25.5" customHeight="1" x14ac:dyDescent="0.2">
      <c r="A86" s="619" t="s">
        <v>202</v>
      </c>
      <c r="B86" s="620"/>
      <c r="C86" s="620"/>
      <c r="D86" s="620"/>
      <c r="E86" s="620"/>
      <c r="F86" s="621"/>
      <c r="G86" s="622"/>
      <c r="H86" s="622"/>
      <c r="I86" s="622"/>
      <c r="J86" s="623"/>
    </row>
    <row r="87" spans="1:10" s="61" customFormat="1" ht="12.75" customHeight="1" x14ac:dyDescent="0.2">
      <c r="A87" s="348" t="s">
        <v>510</v>
      </c>
      <c r="B87" s="349"/>
      <c r="C87" s="349"/>
      <c r="D87" s="349"/>
      <c r="E87" s="349"/>
      <c r="F87" s="614"/>
      <c r="G87" s="614"/>
      <c r="H87" s="614"/>
      <c r="I87" s="614"/>
      <c r="J87" s="615"/>
    </row>
    <row r="88" spans="1:10" ht="12.75" customHeight="1" x14ac:dyDescent="0.2">
      <c r="A88" s="593" t="s">
        <v>367</v>
      </c>
      <c r="B88" s="594"/>
      <c r="C88" s="594"/>
      <c r="D88" s="594"/>
      <c r="E88" s="594"/>
      <c r="F88" s="594"/>
      <c r="G88" s="594"/>
      <c r="H88" s="594"/>
      <c r="I88" s="594"/>
      <c r="J88" s="595"/>
    </row>
    <row r="89" spans="1:10" ht="12.75" customHeight="1" x14ac:dyDescent="0.2">
      <c r="A89" s="596"/>
      <c r="B89" s="597"/>
      <c r="C89" s="597"/>
      <c r="D89" s="597"/>
      <c r="E89" s="597"/>
      <c r="F89" s="597"/>
      <c r="G89" s="597"/>
      <c r="H89" s="597"/>
      <c r="I89" s="597"/>
      <c r="J89" s="598"/>
    </row>
    <row r="90" spans="1:10" ht="12.75" customHeight="1" x14ac:dyDescent="0.2">
      <c r="A90" s="596"/>
      <c r="B90" s="597"/>
      <c r="C90" s="597"/>
      <c r="D90" s="597"/>
      <c r="E90" s="597"/>
      <c r="F90" s="597"/>
      <c r="G90" s="597"/>
      <c r="H90" s="597"/>
      <c r="I90" s="597"/>
      <c r="J90" s="598"/>
    </row>
    <row r="91" spans="1:10" ht="15" customHeight="1" x14ac:dyDescent="0.2">
      <c r="A91" s="599"/>
      <c r="B91" s="600"/>
      <c r="C91" s="600"/>
      <c r="D91" s="600"/>
      <c r="E91" s="600"/>
      <c r="F91" s="600"/>
      <c r="G91" s="600"/>
      <c r="H91" s="600"/>
      <c r="I91" s="600"/>
      <c r="J91" s="601"/>
    </row>
    <row r="92" spans="1:10" ht="12.75" customHeight="1" x14ac:dyDescent="0.2">
      <c r="A92" s="610"/>
      <c r="B92" s="611"/>
      <c r="C92" s="611"/>
      <c r="D92" s="611"/>
      <c r="E92" s="611"/>
      <c r="F92" s="611"/>
      <c r="G92" s="611"/>
      <c r="H92" s="611"/>
      <c r="I92" s="611"/>
      <c r="J92" s="612"/>
    </row>
    <row r="93" spans="1:10" ht="12.75" customHeight="1" x14ac:dyDescent="0.2">
      <c r="A93" s="610"/>
      <c r="B93" s="611"/>
      <c r="C93" s="611"/>
      <c r="D93" s="611"/>
      <c r="E93" s="611"/>
      <c r="F93" s="611"/>
      <c r="G93" s="611"/>
      <c r="H93" s="611"/>
      <c r="I93" s="611"/>
      <c r="J93" s="612"/>
    </row>
    <row r="94" spans="1:10" ht="12.75" customHeight="1" x14ac:dyDescent="0.2">
      <c r="A94" s="610"/>
      <c r="B94" s="611"/>
      <c r="C94" s="611"/>
      <c r="D94" s="611"/>
      <c r="E94" s="611"/>
      <c r="F94" s="611"/>
      <c r="G94" s="611"/>
      <c r="H94" s="611"/>
      <c r="I94" s="611"/>
      <c r="J94" s="612"/>
    </row>
    <row r="95" spans="1:10" ht="12.75" customHeight="1" x14ac:dyDescent="0.2">
      <c r="A95" s="610"/>
      <c r="B95" s="611"/>
      <c r="C95" s="611"/>
      <c r="D95" s="611"/>
      <c r="E95" s="611"/>
      <c r="F95" s="611"/>
      <c r="G95" s="611"/>
      <c r="H95" s="611"/>
      <c r="I95" s="611"/>
      <c r="J95" s="612"/>
    </row>
    <row r="96" spans="1:10" ht="12.75" customHeight="1" x14ac:dyDescent="0.2">
      <c r="A96" s="610"/>
      <c r="B96" s="611"/>
      <c r="C96" s="611"/>
      <c r="D96" s="611"/>
      <c r="E96" s="611"/>
      <c r="F96" s="611"/>
      <c r="G96" s="611"/>
      <c r="H96" s="611"/>
      <c r="I96" s="611"/>
      <c r="J96" s="612"/>
    </row>
    <row r="97" spans="1:10" ht="12.75" customHeight="1" x14ac:dyDescent="0.2">
      <c r="A97" s="610"/>
      <c r="B97" s="611"/>
      <c r="C97" s="611"/>
      <c r="D97" s="611"/>
      <c r="E97" s="611"/>
      <c r="F97" s="611"/>
      <c r="G97" s="611"/>
      <c r="H97" s="611"/>
      <c r="I97" s="611"/>
      <c r="J97" s="612"/>
    </row>
    <row r="98" spans="1:10" ht="12.75" customHeight="1" x14ac:dyDescent="0.2">
      <c r="A98" s="610"/>
      <c r="B98" s="611"/>
      <c r="C98" s="611"/>
      <c r="D98" s="611"/>
      <c r="E98" s="611"/>
      <c r="F98" s="611"/>
      <c r="G98" s="611"/>
      <c r="H98" s="611"/>
      <c r="I98" s="611"/>
      <c r="J98" s="612"/>
    </row>
    <row r="99" spans="1:10" ht="12.75" customHeight="1" x14ac:dyDescent="0.2">
      <c r="A99" s="610"/>
      <c r="B99" s="611"/>
      <c r="C99" s="611"/>
      <c r="D99" s="611"/>
      <c r="E99" s="611"/>
      <c r="F99" s="611"/>
      <c r="G99" s="611"/>
      <c r="H99" s="611"/>
      <c r="I99" s="611"/>
      <c r="J99" s="612"/>
    </row>
    <row r="100" spans="1:10" ht="12.75" customHeight="1" x14ac:dyDescent="0.2">
      <c r="A100" s="610"/>
      <c r="B100" s="611"/>
      <c r="C100" s="611"/>
      <c r="D100" s="611"/>
      <c r="E100" s="611"/>
      <c r="F100" s="611"/>
      <c r="G100" s="611"/>
      <c r="H100" s="611"/>
      <c r="I100" s="611"/>
      <c r="J100" s="612"/>
    </row>
    <row r="101" spans="1:10" ht="12.75" customHeight="1" x14ac:dyDescent="0.2">
      <c r="A101" s="610"/>
      <c r="B101" s="611"/>
      <c r="C101" s="611"/>
      <c r="D101" s="611"/>
      <c r="E101" s="611"/>
      <c r="F101" s="611"/>
      <c r="G101" s="611"/>
      <c r="H101" s="611"/>
      <c r="I101" s="611"/>
      <c r="J101" s="612"/>
    </row>
    <row r="102" spans="1:10" ht="12.75" customHeight="1" x14ac:dyDescent="0.2">
      <c r="A102" s="610"/>
      <c r="B102" s="611"/>
      <c r="C102" s="611"/>
      <c r="D102" s="611"/>
      <c r="E102" s="611"/>
      <c r="F102" s="611"/>
      <c r="G102" s="611"/>
      <c r="H102" s="611"/>
      <c r="I102" s="611"/>
      <c r="J102" s="612"/>
    </row>
    <row r="103" spans="1:10" ht="12.75" customHeight="1" x14ac:dyDescent="0.2">
      <c r="A103" s="610"/>
      <c r="B103" s="611"/>
      <c r="C103" s="611"/>
      <c r="D103" s="611"/>
      <c r="E103" s="611"/>
      <c r="F103" s="611"/>
      <c r="G103" s="611"/>
      <c r="H103" s="611"/>
      <c r="I103" s="611"/>
      <c r="J103" s="612"/>
    </row>
    <row r="104" spans="1:10" ht="12.75" customHeight="1" x14ac:dyDescent="0.2">
      <c r="A104" s="610"/>
      <c r="B104" s="611"/>
      <c r="C104" s="611"/>
      <c r="D104" s="611"/>
      <c r="E104" s="611"/>
      <c r="F104" s="611"/>
      <c r="G104" s="611"/>
      <c r="H104" s="611"/>
      <c r="I104" s="611"/>
      <c r="J104" s="612"/>
    </row>
    <row r="105" spans="1:10" ht="12.75" customHeight="1" x14ac:dyDescent="0.2">
      <c r="A105" s="610"/>
      <c r="B105" s="611"/>
      <c r="C105" s="611"/>
      <c r="D105" s="611"/>
      <c r="E105" s="611"/>
      <c r="F105" s="611"/>
      <c r="G105" s="611"/>
      <c r="H105" s="611"/>
      <c r="I105" s="611"/>
      <c r="J105" s="612"/>
    </row>
    <row r="106" spans="1:10" ht="12.75" customHeight="1" x14ac:dyDescent="0.2">
      <c r="A106" s="610"/>
      <c r="B106" s="611"/>
      <c r="C106" s="611"/>
      <c r="D106" s="611"/>
      <c r="E106" s="611"/>
      <c r="F106" s="611"/>
      <c r="G106" s="611"/>
      <c r="H106" s="611"/>
      <c r="I106" s="611"/>
      <c r="J106" s="612"/>
    </row>
    <row r="107" spans="1:10" ht="12.75" customHeight="1" x14ac:dyDescent="0.2">
      <c r="A107" s="610"/>
      <c r="B107" s="611"/>
      <c r="C107" s="611"/>
      <c r="D107" s="611"/>
      <c r="E107" s="611"/>
      <c r="F107" s="611"/>
      <c r="G107" s="611"/>
      <c r="H107" s="611"/>
      <c r="I107" s="611"/>
      <c r="J107" s="612"/>
    </row>
    <row r="108" spans="1:10" ht="12.75" customHeight="1" x14ac:dyDescent="0.2">
      <c r="A108" s="610"/>
      <c r="B108" s="611"/>
      <c r="C108" s="611"/>
      <c r="D108" s="611"/>
      <c r="E108" s="611"/>
      <c r="F108" s="611"/>
      <c r="G108" s="611"/>
      <c r="H108" s="611"/>
      <c r="I108" s="611"/>
      <c r="J108" s="612"/>
    </row>
    <row r="109" spans="1:10" ht="12.75" customHeight="1" x14ac:dyDescent="0.2">
      <c r="A109" s="610"/>
      <c r="B109" s="611"/>
      <c r="C109" s="611"/>
      <c r="D109" s="611"/>
      <c r="E109" s="611"/>
      <c r="F109" s="611"/>
      <c r="G109" s="611"/>
      <c r="H109" s="611"/>
      <c r="I109" s="611"/>
      <c r="J109" s="612"/>
    </row>
    <row r="110" spans="1:10" ht="12.75" customHeight="1" x14ac:dyDescent="0.2">
      <c r="A110" s="610"/>
      <c r="B110" s="611"/>
      <c r="C110" s="611"/>
      <c r="D110" s="611"/>
      <c r="E110" s="611"/>
      <c r="F110" s="611"/>
      <c r="G110" s="611"/>
      <c r="H110" s="611"/>
      <c r="I110" s="611"/>
      <c r="J110" s="612"/>
    </row>
    <row r="111" spans="1:10" ht="12.75" customHeight="1" x14ac:dyDescent="0.2">
      <c r="A111" s="610"/>
      <c r="B111" s="611"/>
      <c r="C111" s="611"/>
      <c r="D111" s="611"/>
      <c r="E111" s="611"/>
      <c r="F111" s="611"/>
      <c r="G111" s="611"/>
      <c r="H111" s="611"/>
      <c r="I111" s="611"/>
      <c r="J111" s="612"/>
    </row>
    <row r="112" spans="1:10" ht="12.75" customHeight="1" x14ac:dyDescent="0.2">
      <c r="A112" s="610"/>
      <c r="B112" s="611"/>
      <c r="C112" s="611"/>
      <c r="D112" s="611"/>
      <c r="E112" s="611"/>
      <c r="F112" s="611"/>
      <c r="G112" s="611"/>
      <c r="H112" s="611"/>
      <c r="I112" s="611"/>
      <c r="J112" s="612"/>
    </row>
    <row r="113" spans="1:10" ht="12.75" customHeight="1" x14ac:dyDescent="0.2">
      <c r="A113" s="610"/>
      <c r="B113" s="611"/>
      <c r="C113" s="611"/>
      <c r="D113" s="611"/>
      <c r="E113" s="611"/>
      <c r="F113" s="611"/>
      <c r="G113" s="611"/>
      <c r="H113" s="611"/>
      <c r="I113" s="611"/>
      <c r="J113" s="612"/>
    </row>
    <row r="114" spans="1:10" ht="12.75" customHeight="1" x14ac:dyDescent="0.2">
      <c r="A114" s="610"/>
      <c r="B114" s="611"/>
      <c r="C114" s="611"/>
      <c r="D114" s="611"/>
      <c r="E114" s="611"/>
      <c r="F114" s="611"/>
      <c r="G114" s="611"/>
      <c r="H114" s="611"/>
      <c r="I114" s="611"/>
      <c r="J114" s="612"/>
    </row>
    <row r="115" spans="1:10" ht="12.75" customHeight="1" x14ac:dyDescent="0.2">
      <c r="A115" s="610"/>
      <c r="B115" s="611"/>
      <c r="C115" s="611"/>
      <c r="D115" s="611"/>
      <c r="E115" s="611"/>
      <c r="F115" s="611"/>
      <c r="G115" s="611"/>
      <c r="H115" s="611"/>
      <c r="I115" s="611"/>
      <c r="J115" s="612"/>
    </row>
    <row r="116" spans="1:10" ht="12.75" customHeight="1" x14ac:dyDescent="0.2">
      <c r="A116" s="610"/>
      <c r="B116" s="611"/>
      <c r="C116" s="611"/>
      <c r="D116" s="611"/>
      <c r="E116" s="611"/>
      <c r="F116" s="611"/>
      <c r="G116" s="611"/>
      <c r="H116" s="611"/>
      <c r="I116" s="611"/>
      <c r="J116" s="612"/>
    </row>
    <row r="117" spans="1:10" ht="12.75" customHeight="1" x14ac:dyDescent="0.2">
      <c r="A117" s="610"/>
      <c r="B117" s="611"/>
      <c r="C117" s="611"/>
      <c r="D117" s="611"/>
      <c r="E117" s="611"/>
      <c r="F117" s="611"/>
      <c r="G117" s="611"/>
      <c r="H117" s="611"/>
      <c r="I117" s="611"/>
      <c r="J117" s="612"/>
    </row>
    <row r="118" spans="1:10" ht="12.75" customHeight="1" x14ac:dyDescent="0.2">
      <c r="A118" s="610"/>
      <c r="B118" s="611"/>
      <c r="C118" s="611"/>
      <c r="D118" s="611"/>
      <c r="E118" s="611"/>
      <c r="F118" s="611"/>
      <c r="G118" s="611"/>
      <c r="H118" s="611"/>
      <c r="I118" s="611"/>
      <c r="J118" s="612"/>
    </row>
    <row r="119" spans="1:10" ht="12.75" customHeight="1" x14ac:dyDescent="0.2">
      <c r="A119" s="610"/>
      <c r="B119" s="611"/>
      <c r="C119" s="611"/>
      <c r="D119" s="611"/>
      <c r="E119" s="611"/>
      <c r="F119" s="611"/>
      <c r="G119" s="611"/>
      <c r="H119" s="611"/>
      <c r="I119" s="611"/>
      <c r="J119" s="612"/>
    </row>
    <row r="120" spans="1:10" ht="12.75" customHeight="1" x14ac:dyDescent="0.2">
      <c r="A120" s="610"/>
      <c r="B120" s="611"/>
      <c r="C120" s="611"/>
      <c r="D120" s="611"/>
      <c r="E120" s="611"/>
      <c r="F120" s="611"/>
      <c r="G120" s="611"/>
      <c r="H120" s="611"/>
      <c r="I120" s="611"/>
      <c r="J120" s="612"/>
    </row>
    <row r="121" spans="1:10" ht="12.75" customHeight="1" x14ac:dyDescent="0.2">
      <c r="A121" s="610"/>
      <c r="B121" s="611"/>
      <c r="C121" s="611"/>
      <c r="D121" s="611"/>
      <c r="E121" s="611"/>
      <c r="F121" s="611"/>
      <c r="G121" s="611"/>
      <c r="H121" s="611"/>
      <c r="I121" s="611"/>
      <c r="J121" s="612"/>
    </row>
    <row r="122" spans="1:10" ht="12.75" customHeight="1" x14ac:dyDescent="0.2">
      <c r="A122" s="610"/>
      <c r="B122" s="611"/>
      <c r="C122" s="611"/>
      <c r="D122" s="611"/>
      <c r="E122" s="611"/>
      <c r="F122" s="611"/>
      <c r="G122" s="611"/>
      <c r="H122" s="611"/>
      <c r="I122" s="611"/>
      <c r="J122" s="612"/>
    </row>
    <row r="123" spans="1:10" ht="12.75" customHeight="1" x14ac:dyDescent="0.2">
      <c r="A123" s="610"/>
      <c r="B123" s="611"/>
      <c r="C123" s="611"/>
      <c r="D123" s="611"/>
      <c r="E123" s="611"/>
      <c r="F123" s="611"/>
      <c r="G123" s="611"/>
      <c r="H123" s="611"/>
      <c r="I123" s="611"/>
      <c r="J123" s="612"/>
    </row>
    <row r="124" spans="1:10" ht="12.75" customHeight="1" x14ac:dyDescent="0.2">
      <c r="A124" s="610"/>
      <c r="B124" s="611"/>
      <c r="C124" s="611"/>
      <c r="D124" s="611"/>
      <c r="E124" s="611"/>
      <c r="F124" s="611"/>
      <c r="G124" s="611"/>
      <c r="H124" s="611"/>
      <c r="I124" s="611"/>
      <c r="J124" s="612"/>
    </row>
    <row r="125" spans="1:10" ht="12.75" customHeight="1" x14ac:dyDescent="0.2">
      <c r="A125" s="610"/>
      <c r="B125" s="611"/>
      <c r="C125" s="611"/>
      <c r="D125" s="611"/>
      <c r="E125" s="611"/>
      <c r="F125" s="611"/>
      <c r="G125" s="611"/>
      <c r="H125" s="611"/>
      <c r="I125" s="611"/>
      <c r="J125" s="612"/>
    </row>
    <row r="126" spans="1:10" ht="12.75" customHeight="1" x14ac:dyDescent="0.2">
      <c r="A126" s="610"/>
      <c r="B126" s="611"/>
      <c r="C126" s="611"/>
      <c r="D126" s="611"/>
      <c r="E126" s="611"/>
      <c r="F126" s="611"/>
      <c r="G126" s="611"/>
      <c r="H126" s="611"/>
      <c r="I126" s="611"/>
      <c r="J126" s="612"/>
    </row>
    <row r="127" spans="1:10" s="61" customFormat="1" x14ac:dyDescent="0.2">
      <c r="A127" s="55"/>
      <c r="B127" s="56"/>
      <c r="C127" s="57"/>
      <c r="D127" s="58"/>
      <c r="E127" s="58"/>
      <c r="F127" s="58"/>
      <c r="G127" s="58"/>
      <c r="H127" s="59"/>
      <c r="I127" s="57"/>
      <c r="J127" s="60"/>
    </row>
    <row r="128" spans="1:10" s="61" customFormat="1" ht="25.5" customHeight="1" x14ac:dyDescent="0.2">
      <c r="A128" s="619" t="s">
        <v>201</v>
      </c>
      <c r="B128" s="620"/>
      <c r="C128" s="620"/>
      <c r="D128" s="620"/>
      <c r="E128" s="620"/>
      <c r="F128" s="621"/>
      <c r="G128" s="622"/>
      <c r="H128" s="622"/>
      <c r="I128" s="622"/>
      <c r="J128" s="623"/>
    </row>
    <row r="129" spans="1:10" s="61" customFormat="1" ht="12.75" customHeight="1" x14ac:dyDescent="0.2">
      <c r="A129" s="348" t="s">
        <v>510</v>
      </c>
      <c r="B129" s="349"/>
      <c r="C129" s="349"/>
      <c r="D129" s="349"/>
      <c r="E129" s="349"/>
      <c r="F129" s="614"/>
      <c r="G129" s="614"/>
      <c r="H129" s="614"/>
      <c r="I129" s="614"/>
      <c r="J129" s="615"/>
    </row>
    <row r="130" spans="1:10" ht="12.75" customHeight="1" x14ac:dyDescent="0.2">
      <c r="A130" s="593" t="s">
        <v>367</v>
      </c>
      <c r="B130" s="594"/>
      <c r="C130" s="594"/>
      <c r="D130" s="594"/>
      <c r="E130" s="594"/>
      <c r="F130" s="594"/>
      <c r="G130" s="594"/>
      <c r="H130" s="594"/>
      <c r="I130" s="594"/>
      <c r="J130" s="595"/>
    </row>
    <row r="131" spans="1:10" ht="12.75" customHeight="1" x14ac:dyDescent="0.2">
      <c r="A131" s="596"/>
      <c r="B131" s="597"/>
      <c r="C131" s="597"/>
      <c r="D131" s="597"/>
      <c r="E131" s="597"/>
      <c r="F131" s="597"/>
      <c r="G131" s="597"/>
      <c r="H131" s="597"/>
      <c r="I131" s="597"/>
      <c r="J131" s="598"/>
    </row>
    <row r="132" spans="1:10" ht="12.75" customHeight="1" x14ac:dyDescent="0.2">
      <c r="A132" s="596"/>
      <c r="B132" s="597"/>
      <c r="C132" s="597"/>
      <c r="D132" s="597"/>
      <c r="E132" s="597"/>
      <c r="F132" s="597"/>
      <c r="G132" s="597"/>
      <c r="H132" s="597"/>
      <c r="I132" s="597"/>
      <c r="J132" s="598"/>
    </row>
    <row r="133" spans="1:10" ht="15" customHeight="1" x14ac:dyDescent="0.2">
      <c r="A133" s="599"/>
      <c r="B133" s="600"/>
      <c r="C133" s="600"/>
      <c r="D133" s="600"/>
      <c r="E133" s="600"/>
      <c r="F133" s="600"/>
      <c r="G133" s="600"/>
      <c r="H133" s="600"/>
      <c r="I133" s="600"/>
      <c r="J133" s="601"/>
    </row>
    <row r="134" spans="1:10" ht="12.75" customHeight="1" x14ac:dyDescent="0.2">
      <c r="A134" s="610"/>
      <c r="B134" s="611"/>
      <c r="C134" s="611"/>
      <c r="D134" s="611"/>
      <c r="E134" s="611"/>
      <c r="F134" s="611"/>
      <c r="G134" s="611"/>
      <c r="H134" s="611"/>
      <c r="I134" s="611"/>
      <c r="J134" s="612"/>
    </row>
    <row r="135" spans="1:10" ht="12.75" customHeight="1" x14ac:dyDescent="0.2">
      <c r="A135" s="610"/>
      <c r="B135" s="611"/>
      <c r="C135" s="611"/>
      <c r="D135" s="611"/>
      <c r="E135" s="611"/>
      <c r="F135" s="611"/>
      <c r="G135" s="611"/>
      <c r="H135" s="611"/>
      <c r="I135" s="611"/>
      <c r="J135" s="612"/>
    </row>
    <row r="136" spans="1:10" ht="12.75" customHeight="1" x14ac:dyDescent="0.2">
      <c r="A136" s="610"/>
      <c r="B136" s="611"/>
      <c r="C136" s="611"/>
      <c r="D136" s="611"/>
      <c r="E136" s="611"/>
      <c r="F136" s="611"/>
      <c r="G136" s="611"/>
      <c r="H136" s="611"/>
      <c r="I136" s="611"/>
      <c r="J136" s="612"/>
    </row>
    <row r="137" spans="1:10" ht="12.75" customHeight="1" x14ac:dyDescent="0.2">
      <c r="A137" s="610"/>
      <c r="B137" s="611"/>
      <c r="C137" s="611"/>
      <c r="D137" s="611"/>
      <c r="E137" s="611"/>
      <c r="F137" s="611"/>
      <c r="G137" s="611"/>
      <c r="H137" s="611"/>
      <c r="I137" s="611"/>
      <c r="J137" s="612"/>
    </row>
    <row r="138" spans="1:10" ht="12.75" customHeight="1" x14ac:dyDescent="0.2">
      <c r="A138" s="610"/>
      <c r="B138" s="611"/>
      <c r="C138" s="611"/>
      <c r="D138" s="611"/>
      <c r="E138" s="611"/>
      <c r="F138" s="611"/>
      <c r="G138" s="611"/>
      <c r="H138" s="611"/>
      <c r="I138" s="611"/>
      <c r="J138" s="612"/>
    </row>
    <row r="139" spans="1:10" ht="12.75" customHeight="1" x14ac:dyDescent="0.2">
      <c r="A139" s="610"/>
      <c r="B139" s="611"/>
      <c r="C139" s="611"/>
      <c r="D139" s="611"/>
      <c r="E139" s="611"/>
      <c r="F139" s="611"/>
      <c r="G139" s="611"/>
      <c r="H139" s="611"/>
      <c r="I139" s="611"/>
      <c r="J139" s="612"/>
    </row>
    <row r="140" spans="1:10" ht="12.75" customHeight="1" x14ac:dyDescent="0.2">
      <c r="A140" s="610"/>
      <c r="B140" s="611"/>
      <c r="C140" s="611"/>
      <c r="D140" s="611"/>
      <c r="E140" s="611"/>
      <c r="F140" s="611"/>
      <c r="G140" s="611"/>
      <c r="H140" s="611"/>
      <c r="I140" s="611"/>
      <c r="J140" s="612"/>
    </row>
    <row r="141" spans="1:10" ht="12.75" customHeight="1" x14ac:dyDescent="0.2">
      <c r="A141" s="610"/>
      <c r="B141" s="611"/>
      <c r="C141" s="611"/>
      <c r="D141" s="611"/>
      <c r="E141" s="611"/>
      <c r="F141" s="611"/>
      <c r="G141" s="611"/>
      <c r="H141" s="611"/>
      <c r="I141" s="611"/>
      <c r="J141" s="612"/>
    </row>
    <row r="142" spans="1:10" ht="12.75" customHeight="1" x14ac:dyDescent="0.2">
      <c r="A142" s="610"/>
      <c r="B142" s="611"/>
      <c r="C142" s="611"/>
      <c r="D142" s="611"/>
      <c r="E142" s="611"/>
      <c r="F142" s="611"/>
      <c r="G142" s="611"/>
      <c r="H142" s="611"/>
      <c r="I142" s="611"/>
      <c r="J142" s="612"/>
    </row>
    <row r="143" spans="1:10" ht="12.75" customHeight="1" x14ac:dyDescent="0.2">
      <c r="A143" s="610"/>
      <c r="B143" s="611"/>
      <c r="C143" s="611"/>
      <c r="D143" s="611"/>
      <c r="E143" s="611"/>
      <c r="F143" s="611"/>
      <c r="G143" s="611"/>
      <c r="H143" s="611"/>
      <c r="I143" s="611"/>
      <c r="J143" s="612"/>
    </row>
    <row r="144" spans="1:10" ht="12.75" customHeight="1" x14ac:dyDescent="0.2">
      <c r="A144" s="610"/>
      <c r="B144" s="611"/>
      <c r="C144" s="611"/>
      <c r="D144" s="611"/>
      <c r="E144" s="611"/>
      <c r="F144" s="611"/>
      <c r="G144" s="611"/>
      <c r="H144" s="611"/>
      <c r="I144" s="611"/>
      <c r="J144" s="612"/>
    </row>
    <row r="145" spans="1:10" ht="12.75" customHeight="1" x14ac:dyDescent="0.2">
      <c r="A145" s="610"/>
      <c r="B145" s="611"/>
      <c r="C145" s="611"/>
      <c r="D145" s="611"/>
      <c r="E145" s="611"/>
      <c r="F145" s="611"/>
      <c r="G145" s="611"/>
      <c r="H145" s="611"/>
      <c r="I145" s="611"/>
      <c r="J145" s="612"/>
    </row>
    <row r="146" spans="1:10" ht="12.75" customHeight="1" x14ac:dyDescent="0.2">
      <c r="A146" s="610"/>
      <c r="B146" s="611"/>
      <c r="C146" s="611"/>
      <c r="D146" s="611"/>
      <c r="E146" s="611"/>
      <c r="F146" s="611"/>
      <c r="G146" s="611"/>
      <c r="H146" s="611"/>
      <c r="I146" s="611"/>
      <c r="J146" s="612"/>
    </row>
    <row r="147" spans="1:10" ht="12.75" customHeight="1" x14ac:dyDescent="0.2">
      <c r="A147" s="610"/>
      <c r="B147" s="611"/>
      <c r="C147" s="611"/>
      <c r="D147" s="611"/>
      <c r="E147" s="611"/>
      <c r="F147" s="611"/>
      <c r="G147" s="611"/>
      <c r="H147" s="611"/>
      <c r="I147" s="611"/>
      <c r="J147" s="612"/>
    </row>
    <row r="148" spans="1:10" ht="12.75" customHeight="1" x14ac:dyDescent="0.2">
      <c r="A148" s="610"/>
      <c r="B148" s="611"/>
      <c r="C148" s="611"/>
      <c r="D148" s="611"/>
      <c r="E148" s="611"/>
      <c r="F148" s="611"/>
      <c r="G148" s="611"/>
      <c r="H148" s="611"/>
      <c r="I148" s="611"/>
      <c r="J148" s="612"/>
    </row>
    <row r="149" spans="1:10" ht="12.75" customHeight="1" x14ac:dyDescent="0.2">
      <c r="A149" s="610"/>
      <c r="B149" s="611"/>
      <c r="C149" s="611"/>
      <c r="D149" s="611"/>
      <c r="E149" s="611"/>
      <c r="F149" s="611"/>
      <c r="G149" s="611"/>
      <c r="H149" s="611"/>
      <c r="I149" s="611"/>
      <c r="J149" s="612"/>
    </row>
    <row r="150" spans="1:10" ht="12.75" customHeight="1" x14ac:dyDescent="0.2">
      <c r="A150" s="610"/>
      <c r="B150" s="611"/>
      <c r="C150" s="611"/>
      <c r="D150" s="611"/>
      <c r="E150" s="611"/>
      <c r="F150" s="611"/>
      <c r="G150" s="611"/>
      <c r="H150" s="611"/>
      <c r="I150" s="611"/>
      <c r="J150" s="612"/>
    </row>
    <row r="151" spans="1:10" ht="12.75" customHeight="1" x14ac:dyDescent="0.2">
      <c r="A151" s="610"/>
      <c r="B151" s="611"/>
      <c r="C151" s="611"/>
      <c r="D151" s="611"/>
      <c r="E151" s="611"/>
      <c r="F151" s="611"/>
      <c r="G151" s="611"/>
      <c r="H151" s="611"/>
      <c r="I151" s="611"/>
      <c r="J151" s="612"/>
    </row>
    <row r="152" spans="1:10" ht="12.75" customHeight="1" x14ac:dyDescent="0.2">
      <c r="A152" s="610"/>
      <c r="B152" s="611"/>
      <c r="C152" s="611"/>
      <c r="D152" s="611"/>
      <c r="E152" s="611"/>
      <c r="F152" s="611"/>
      <c r="G152" s="611"/>
      <c r="H152" s="611"/>
      <c r="I152" s="611"/>
      <c r="J152" s="612"/>
    </row>
    <row r="153" spans="1:10" ht="12.75" customHeight="1" x14ac:dyDescent="0.2">
      <c r="A153" s="610"/>
      <c r="B153" s="611"/>
      <c r="C153" s="611"/>
      <c r="D153" s="611"/>
      <c r="E153" s="611"/>
      <c r="F153" s="611"/>
      <c r="G153" s="611"/>
      <c r="H153" s="611"/>
      <c r="I153" s="611"/>
      <c r="J153" s="612"/>
    </row>
    <row r="154" spans="1:10" ht="12.75" customHeight="1" x14ac:dyDescent="0.2">
      <c r="A154" s="610"/>
      <c r="B154" s="611"/>
      <c r="C154" s="611"/>
      <c r="D154" s="611"/>
      <c r="E154" s="611"/>
      <c r="F154" s="611"/>
      <c r="G154" s="611"/>
      <c r="H154" s="611"/>
      <c r="I154" s="611"/>
      <c r="J154" s="612"/>
    </row>
    <row r="155" spans="1:10" ht="12.75" customHeight="1" x14ac:dyDescent="0.2">
      <c r="A155" s="610"/>
      <c r="B155" s="611"/>
      <c r="C155" s="611"/>
      <c r="D155" s="611"/>
      <c r="E155" s="611"/>
      <c r="F155" s="611"/>
      <c r="G155" s="611"/>
      <c r="H155" s="611"/>
      <c r="I155" s="611"/>
      <c r="J155" s="612"/>
    </row>
    <row r="156" spans="1:10" ht="12.75" customHeight="1" x14ac:dyDescent="0.2">
      <c r="A156" s="610"/>
      <c r="B156" s="611"/>
      <c r="C156" s="611"/>
      <c r="D156" s="611"/>
      <c r="E156" s="611"/>
      <c r="F156" s="611"/>
      <c r="G156" s="611"/>
      <c r="H156" s="611"/>
      <c r="I156" s="611"/>
      <c r="J156" s="612"/>
    </row>
    <row r="157" spans="1:10" ht="12.75" customHeight="1" x14ac:dyDescent="0.2">
      <c r="A157" s="610"/>
      <c r="B157" s="611"/>
      <c r="C157" s="611"/>
      <c r="D157" s="611"/>
      <c r="E157" s="611"/>
      <c r="F157" s="611"/>
      <c r="G157" s="611"/>
      <c r="H157" s="611"/>
      <c r="I157" s="611"/>
      <c r="J157" s="612"/>
    </row>
    <row r="158" spans="1:10" ht="12.75" customHeight="1" x14ac:dyDescent="0.2">
      <c r="A158" s="610"/>
      <c r="B158" s="611"/>
      <c r="C158" s="611"/>
      <c r="D158" s="611"/>
      <c r="E158" s="611"/>
      <c r="F158" s="611"/>
      <c r="G158" s="611"/>
      <c r="H158" s="611"/>
      <c r="I158" s="611"/>
      <c r="J158" s="612"/>
    </row>
    <row r="159" spans="1:10" ht="12.75" customHeight="1" x14ac:dyDescent="0.2">
      <c r="A159" s="610"/>
      <c r="B159" s="611"/>
      <c r="C159" s="611"/>
      <c r="D159" s="611"/>
      <c r="E159" s="611"/>
      <c r="F159" s="611"/>
      <c r="G159" s="611"/>
      <c r="H159" s="611"/>
      <c r="I159" s="611"/>
      <c r="J159" s="612"/>
    </row>
    <row r="160" spans="1:10" ht="12.75" customHeight="1" x14ac:dyDescent="0.2">
      <c r="A160" s="610"/>
      <c r="B160" s="611"/>
      <c r="C160" s="611"/>
      <c r="D160" s="611"/>
      <c r="E160" s="611"/>
      <c r="F160" s="611"/>
      <c r="G160" s="611"/>
      <c r="H160" s="611"/>
      <c r="I160" s="611"/>
      <c r="J160" s="612"/>
    </row>
    <row r="161" spans="1:10" ht="12.75" customHeight="1" x14ac:dyDescent="0.2">
      <c r="A161" s="610"/>
      <c r="B161" s="611"/>
      <c r="C161" s="611"/>
      <c r="D161" s="611"/>
      <c r="E161" s="611"/>
      <c r="F161" s="611"/>
      <c r="G161" s="611"/>
      <c r="H161" s="611"/>
      <c r="I161" s="611"/>
      <c r="J161" s="612"/>
    </row>
    <row r="162" spans="1:10" ht="12.75" customHeight="1" x14ac:dyDescent="0.2">
      <c r="A162" s="610"/>
      <c r="B162" s="611"/>
      <c r="C162" s="611"/>
      <c r="D162" s="611"/>
      <c r="E162" s="611"/>
      <c r="F162" s="611"/>
      <c r="G162" s="611"/>
      <c r="H162" s="611"/>
      <c r="I162" s="611"/>
      <c r="J162" s="612"/>
    </row>
    <row r="163" spans="1:10" ht="12.75" customHeight="1" x14ac:dyDescent="0.2">
      <c r="A163" s="610"/>
      <c r="B163" s="611"/>
      <c r="C163" s="611"/>
      <c r="D163" s="611"/>
      <c r="E163" s="611"/>
      <c r="F163" s="611"/>
      <c r="G163" s="611"/>
      <c r="H163" s="611"/>
      <c r="I163" s="611"/>
      <c r="J163" s="612"/>
    </row>
    <row r="164" spans="1:10" ht="12.75" customHeight="1" x14ac:dyDescent="0.2">
      <c r="A164" s="610"/>
      <c r="B164" s="611"/>
      <c r="C164" s="611"/>
      <c r="D164" s="611"/>
      <c r="E164" s="611"/>
      <c r="F164" s="611"/>
      <c r="G164" s="611"/>
      <c r="H164" s="611"/>
      <c r="I164" s="611"/>
      <c r="J164" s="612"/>
    </row>
    <row r="165" spans="1:10" ht="12.75" customHeight="1" x14ac:dyDescent="0.2">
      <c r="A165" s="610"/>
      <c r="B165" s="611"/>
      <c r="C165" s="611"/>
      <c r="D165" s="611"/>
      <c r="E165" s="611"/>
      <c r="F165" s="611"/>
      <c r="G165" s="611"/>
      <c r="H165" s="611"/>
      <c r="I165" s="611"/>
      <c r="J165" s="612"/>
    </row>
    <row r="166" spans="1:10" ht="12.75" customHeight="1" x14ac:dyDescent="0.2">
      <c r="A166" s="610"/>
      <c r="B166" s="611"/>
      <c r="C166" s="611"/>
      <c r="D166" s="611"/>
      <c r="E166" s="611"/>
      <c r="F166" s="611"/>
      <c r="G166" s="611"/>
      <c r="H166" s="611"/>
      <c r="I166" s="611"/>
      <c r="J166" s="612"/>
    </row>
    <row r="167" spans="1:10" ht="12.75" customHeight="1" x14ac:dyDescent="0.2">
      <c r="A167" s="610"/>
      <c r="B167" s="611"/>
      <c r="C167" s="611"/>
      <c r="D167" s="611"/>
      <c r="E167" s="611"/>
      <c r="F167" s="611"/>
      <c r="G167" s="611"/>
      <c r="H167" s="611"/>
      <c r="I167" s="611"/>
      <c r="J167" s="612"/>
    </row>
    <row r="168" spans="1:10" ht="12.75" customHeight="1" x14ac:dyDescent="0.2">
      <c r="A168" s="610"/>
      <c r="B168" s="611"/>
      <c r="C168" s="611"/>
      <c r="D168" s="611"/>
      <c r="E168" s="611"/>
      <c r="F168" s="611"/>
      <c r="G168" s="611"/>
      <c r="H168" s="611"/>
      <c r="I168" s="611"/>
      <c r="J168" s="612"/>
    </row>
    <row r="169" spans="1:10" s="61" customFormat="1" x14ac:dyDescent="0.2">
      <c r="A169" s="55"/>
      <c r="B169" s="56"/>
      <c r="C169" s="57"/>
      <c r="D169" s="58"/>
      <c r="E169" s="58"/>
      <c r="F169" s="58"/>
      <c r="G169" s="58"/>
      <c r="H169" s="59"/>
      <c r="I169" s="57"/>
      <c r="J169" s="60"/>
    </row>
    <row r="170" spans="1:10" s="61" customFormat="1" ht="25.5" customHeight="1" x14ac:dyDescent="0.2">
      <c r="A170" s="619" t="s">
        <v>200</v>
      </c>
      <c r="B170" s="620"/>
      <c r="C170" s="620"/>
      <c r="D170" s="620"/>
      <c r="E170" s="620"/>
      <c r="F170" s="621"/>
      <c r="G170" s="622"/>
      <c r="H170" s="622"/>
      <c r="I170" s="622"/>
      <c r="J170" s="623"/>
    </row>
    <row r="171" spans="1:10" s="61" customFormat="1" ht="12.75" customHeight="1" x14ac:dyDescent="0.2">
      <c r="A171" s="348" t="s">
        <v>510</v>
      </c>
      <c r="B171" s="349"/>
      <c r="C171" s="349"/>
      <c r="D171" s="349"/>
      <c r="E171" s="349"/>
      <c r="F171" s="614"/>
      <c r="G171" s="614"/>
      <c r="H171" s="614"/>
      <c r="I171" s="614"/>
      <c r="J171" s="615"/>
    </row>
    <row r="172" spans="1:10" ht="12.75" customHeight="1" x14ac:dyDescent="0.2">
      <c r="A172" s="593" t="s">
        <v>367</v>
      </c>
      <c r="B172" s="594"/>
      <c r="C172" s="594"/>
      <c r="D172" s="594"/>
      <c r="E172" s="594"/>
      <c r="F172" s="594"/>
      <c r="G172" s="594"/>
      <c r="H172" s="594"/>
      <c r="I172" s="594"/>
      <c r="J172" s="595"/>
    </row>
    <row r="173" spans="1:10" ht="12.75" customHeight="1" x14ac:dyDescent="0.2">
      <c r="A173" s="596"/>
      <c r="B173" s="597"/>
      <c r="C173" s="597"/>
      <c r="D173" s="597"/>
      <c r="E173" s="597"/>
      <c r="F173" s="597"/>
      <c r="G173" s="597"/>
      <c r="H173" s="597"/>
      <c r="I173" s="597"/>
      <c r="J173" s="598"/>
    </row>
    <row r="174" spans="1:10" ht="12.75" customHeight="1" x14ac:dyDescent="0.2">
      <c r="A174" s="596"/>
      <c r="B174" s="597"/>
      <c r="C174" s="597"/>
      <c r="D174" s="597"/>
      <c r="E174" s="597"/>
      <c r="F174" s="597"/>
      <c r="G174" s="597"/>
      <c r="H174" s="597"/>
      <c r="I174" s="597"/>
      <c r="J174" s="598"/>
    </row>
    <row r="175" spans="1:10" ht="15" customHeight="1" x14ac:dyDescent="0.2">
      <c r="A175" s="599"/>
      <c r="B175" s="600"/>
      <c r="C175" s="600"/>
      <c r="D175" s="600"/>
      <c r="E175" s="600"/>
      <c r="F175" s="600"/>
      <c r="G175" s="600"/>
      <c r="H175" s="600"/>
      <c r="I175" s="600"/>
      <c r="J175" s="601"/>
    </row>
    <row r="176" spans="1:10" ht="12.75" customHeight="1" x14ac:dyDescent="0.2">
      <c r="A176" s="610"/>
      <c r="B176" s="611"/>
      <c r="C176" s="611"/>
      <c r="D176" s="611"/>
      <c r="E176" s="611"/>
      <c r="F176" s="611"/>
      <c r="G176" s="611"/>
      <c r="H176" s="611"/>
      <c r="I176" s="611"/>
      <c r="J176" s="612"/>
    </row>
    <row r="177" spans="1:10" ht="12.75" customHeight="1" x14ac:dyDescent="0.2">
      <c r="A177" s="610"/>
      <c r="B177" s="611"/>
      <c r="C177" s="611"/>
      <c r="D177" s="611"/>
      <c r="E177" s="611"/>
      <c r="F177" s="611"/>
      <c r="G177" s="611"/>
      <c r="H177" s="611"/>
      <c r="I177" s="611"/>
      <c r="J177" s="612"/>
    </row>
    <row r="178" spans="1:10" ht="12.75" customHeight="1" x14ac:dyDescent="0.2">
      <c r="A178" s="610"/>
      <c r="B178" s="611"/>
      <c r="C178" s="611"/>
      <c r="D178" s="611"/>
      <c r="E178" s="611"/>
      <c r="F178" s="611"/>
      <c r="G178" s="611"/>
      <c r="H178" s="611"/>
      <c r="I178" s="611"/>
      <c r="J178" s="612"/>
    </row>
    <row r="179" spans="1:10" ht="12.75" customHeight="1" x14ac:dyDescent="0.2">
      <c r="A179" s="610"/>
      <c r="B179" s="611"/>
      <c r="C179" s="611"/>
      <c r="D179" s="611"/>
      <c r="E179" s="611"/>
      <c r="F179" s="611"/>
      <c r="G179" s="611"/>
      <c r="H179" s="611"/>
      <c r="I179" s="611"/>
      <c r="J179" s="612"/>
    </row>
    <row r="180" spans="1:10" ht="12.75" customHeight="1" x14ac:dyDescent="0.2">
      <c r="A180" s="610"/>
      <c r="B180" s="611"/>
      <c r="C180" s="611"/>
      <c r="D180" s="611"/>
      <c r="E180" s="611"/>
      <c r="F180" s="611"/>
      <c r="G180" s="611"/>
      <c r="H180" s="611"/>
      <c r="I180" s="611"/>
      <c r="J180" s="612"/>
    </row>
    <row r="181" spans="1:10" ht="12.75" customHeight="1" x14ac:dyDescent="0.2">
      <c r="A181" s="610"/>
      <c r="B181" s="611"/>
      <c r="C181" s="611"/>
      <c r="D181" s="611"/>
      <c r="E181" s="611"/>
      <c r="F181" s="611"/>
      <c r="G181" s="611"/>
      <c r="H181" s="611"/>
      <c r="I181" s="611"/>
      <c r="J181" s="612"/>
    </row>
    <row r="182" spans="1:10" ht="12.75" customHeight="1" x14ac:dyDescent="0.2">
      <c r="A182" s="610"/>
      <c r="B182" s="611"/>
      <c r="C182" s="611"/>
      <c r="D182" s="611"/>
      <c r="E182" s="611"/>
      <c r="F182" s="611"/>
      <c r="G182" s="611"/>
      <c r="H182" s="611"/>
      <c r="I182" s="611"/>
      <c r="J182" s="612"/>
    </row>
    <row r="183" spans="1:10" ht="12.75" customHeight="1" x14ac:dyDescent="0.2">
      <c r="A183" s="610"/>
      <c r="B183" s="611"/>
      <c r="C183" s="611"/>
      <c r="D183" s="611"/>
      <c r="E183" s="611"/>
      <c r="F183" s="611"/>
      <c r="G183" s="611"/>
      <c r="H183" s="611"/>
      <c r="I183" s="611"/>
      <c r="J183" s="612"/>
    </row>
    <row r="184" spans="1:10" ht="12.75" customHeight="1" x14ac:dyDescent="0.2">
      <c r="A184" s="610"/>
      <c r="B184" s="611"/>
      <c r="C184" s="611"/>
      <c r="D184" s="611"/>
      <c r="E184" s="611"/>
      <c r="F184" s="611"/>
      <c r="G184" s="611"/>
      <c r="H184" s="611"/>
      <c r="I184" s="611"/>
      <c r="J184" s="612"/>
    </row>
    <row r="185" spans="1:10" ht="12.75" customHeight="1" x14ac:dyDescent="0.2">
      <c r="A185" s="610"/>
      <c r="B185" s="611"/>
      <c r="C185" s="611"/>
      <c r="D185" s="611"/>
      <c r="E185" s="611"/>
      <c r="F185" s="611"/>
      <c r="G185" s="611"/>
      <c r="H185" s="611"/>
      <c r="I185" s="611"/>
      <c r="J185" s="612"/>
    </row>
    <row r="186" spans="1:10" ht="12.75" customHeight="1" x14ac:dyDescent="0.2">
      <c r="A186" s="610"/>
      <c r="B186" s="611"/>
      <c r="C186" s="611"/>
      <c r="D186" s="611"/>
      <c r="E186" s="611"/>
      <c r="F186" s="611"/>
      <c r="G186" s="611"/>
      <c r="H186" s="611"/>
      <c r="I186" s="611"/>
      <c r="J186" s="612"/>
    </row>
    <row r="187" spans="1:10" ht="12.75" customHeight="1" x14ac:dyDescent="0.2">
      <c r="A187" s="610"/>
      <c r="B187" s="611"/>
      <c r="C187" s="611"/>
      <c r="D187" s="611"/>
      <c r="E187" s="611"/>
      <c r="F187" s="611"/>
      <c r="G187" s="611"/>
      <c r="H187" s="611"/>
      <c r="I187" s="611"/>
      <c r="J187" s="612"/>
    </row>
    <row r="188" spans="1:10" ht="12.75" customHeight="1" x14ac:dyDescent="0.2">
      <c r="A188" s="610"/>
      <c r="B188" s="611"/>
      <c r="C188" s="611"/>
      <c r="D188" s="611"/>
      <c r="E188" s="611"/>
      <c r="F188" s="611"/>
      <c r="G188" s="611"/>
      <c r="H188" s="611"/>
      <c r="I188" s="611"/>
      <c r="J188" s="612"/>
    </row>
    <row r="189" spans="1:10" ht="12.75" customHeight="1" x14ac:dyDescent="0.2">
      <c r="A189" s="610"/>
      <c r="B189" s="611"/>
      <c r="C189" s="611"/>
      <c r="D189" s="611"/>
      <c r="E189" s="611"/>
      <c r="F189" s="611"/>
      <c r="G189" s="611"/>
      <c r="H189" s="611"/>
      <c r="I189" s="611"/>
      <c r="J189" s="612"/>
    </row>
    <row r="190" spans="1:10" ht="12.75" customHeight="1" x14ac:dyDescent="0.2">
      <c r="A190" s="610"/>
      <c r="B190" s="611"/>
      <c r="C190" s="611"/>
      <c r="D190" s="611"/>
      <c r="E190" s="611"/>
      <c r="F190" s="611"/>
      <c r="G190" s="611"/>
      <c r="H190" s="611"/>
      <c r="I190" s="611"/>
      <c r="J190" s="612"/>
    </row>
    <row r="191" spans="1:10" ht="12.75" customHeight="1" x14ac:dyDescent="0.2">
      <c r="A191" s="610"/>
      <c r="B191" s="611"/>
      <c r="C191" s="611"/>
      <c r="D191" s="611"/>
      <c r="E191" s="611"/>
      <c r="F191" s="611"/>
      <c r="G191" s="611"/>
      <c r="H191" s="611"/>
      <c r="I191" s="611"/>
      <c r="J191" s="612"/>
    </row>
    <row r="192" spans="1:10" ht="12.75" customHeight="1" x14ac:dyDescent="0.2">
      <c r="A192" s="610"/>
      <c r="B192" s="611"/>
      <c r="C192" s="611"/>
      <c r="D192" s="611"/>
      <c r="E192" s="611"/>
      <c r="F192" s="611"/>
      <c r="G192" s="611"/>
      <c r="H192" s="611"/>
      <c r="I192" s="611"/>
      <c r="J192" s="612"/>
    </row>
    <row r="193" spans="1:10" ht="12.75" customHeight="1" x14ac:dyDescent="0.2">
      <c r="A193" s="610"/>
      <c r="B193" s="611"/>
      <c r="C193" s="611"/>
      <c r="D193" s="611"/>
      <c r="E193" s="611"/>
      <c r="F193" s="611"/>
      <c r="G193" s="611"/>
      <c r="H193" s="611"/>
      <c r="I193" s="611"/>
      <c r="J193" s="612"/>
    </row>
    <row r="194" spans="1:10" ht="12.75" customHeight="1" x14ac:dyDescent="0.2">
      <c r="A194" s="610"/>
      <c r="B194" s="611"/>
      <c r="C194" s="611"/>
      <c r="D194" s="611"/>
      <c r="E194" s="611"/>
      <c r="F194" s="611"/>
      <c r="G194" s="611"/>
      <c r="H194" s="611"/>
      <c r="I194" s="611"/>
      <c r="J194" s="612"/>
    </row>
    <row r="195" spans="1:10" ht="12.75" customHeight="1" x14ac:dyDescent="0.2">
      <c r="A195" s="610"/>
      <c r="B195" s="611"/>
      <c r="C195" s="611"/>
      <c r="D195" s="611"/>
      <c r="E195" s="611"/>
      <c r="F195" s="611"/>
      <c r="G195" s="611"/>
      <c r="H195" s="611"/>
      <c r="I195" s="611"/>
      <c r="J195" s="612"/>
    </row>
    <row r="196" spans="1:10" ht="12.75" customHeight="1" x14ac:dyDescent="0.2">
      <c r="A196" s="610"/>
      <c r="B196" s="611"/>
      <c r="C196" s="611"/>
      <c r="D196" s="611"/>
      <c r="E196" s="611"/>
      <c r="F196" s="611"/>
      <c r="G196" s="611"/>
      <c r="H196" s="611"/>
      <c r="I196" s="611"/>
      <c r="J196" s="612"/>
    </row>
    <row r="197" spans="1:10" ht="12.75" customHeight="1" x14ac:dyDescent="0.2">
      <c r="A197" s="610"/>
      <c r="B197" s="611"/>
      <c r="C197" s="611"/>
      <c r="D197" s="611"/>
      <c r="E197" s="611"/>
      <c r="F197" s="611"/>
      <c r="G197" s="611"/>
      <c r="H197" s="611"/>
      <c r="I197" s="611"/>
      <c r="J197" s="612"/>
    </row>
    <row r="198" spans="1:10" ht="12.75" customHeight="1" x14ac:dyDescent="0.2">
      <c r="A198" s="610"/>
      <c r="B198" s="611"/>
      <c r="C198" s="611"/>
      <c r="D198" s="611"/>
      <c r="E198" s="611"/>
      <c r="F198" s="611"/>
      <c r="G198" s="611"/>
      <c r="H198" s="611"/>
      <c r="I198" s="611"/>
      <c r="J198" s="612"/>
    </row>
    <row r="199" spans="1:10" ht="12.75" customHeight="1" x14ac:dyDescent="0.2">
      <c r="A199" s="610"/>
      <c r="B199" s="611"/>
      <c r="C199" s="611"/>
      <c r="D199" s="611"/>
      <c r="E199" s="611"/>
      <c r="F199" s="611"/>
      <c r="G199" s="611"/>
      <c r="H199" s="611"/>
      <c r="I199" s="611"/>
      <c r="J199" s="612"/>
    </row>
    <row r="200" spans="1:10" ht="12.75" customHeight="1" x14ac:dyDescent="0.2">
      <c r="A200" s="610"/>
      <c r="B200" s="611"/>
      <c r="C200" s="611"/>
      <c r="D200" s="611"/>
      <c r="E200" s="611"/>
      <c r="F200" s="611"/>
      <c r="G200" s="611"/>
      <c r="H200" s="611"/>
      <c r="I200" s="611"/>
      <c r="J200" s="612"/>
    </row>
    <row r="201" spans="1:10" ht="12.75" customHeight="1" x14ac:dyDescent="0.2">
      <c r="A201" s="610"/>
      <c r="B201" s="611"/>
      <c r="C201" s="611"/>
      <c r="D201" s="611"/>
      <c r="E201" s="611"/>
      <c r="F201" s="611"/>
      <c r="G201" s="611"/>
      <c r="H201" s="611"/>
      <c r="I201" s="611"/>
      <c r="J201" s="612"/>
    </row>
    <row r="202" spans="1:10" ht="12.75" customHeight="1" x14ac:dyDescent="0.2">
      <c r="A202" s="610"/>
      <c r="B202" s="611"/>
      <c r="C202" s="611"/>
      <c r="D202" s="611"/>
      <c r="E202" s="611"/>
      <c r="F202" s="611"/>
      <c r="G202" s="611"/>
      <c r="H202" s="611"/>
      <c r="I202" s="611"/>
      <c r="J202" s="612"/>
    </row>
    <row r="203" spans="1:10" ht="12.75" customHeight="1" x14ac:dyDescent="0.2">
      <c r="A203" s="610"/>
      <c r="B203" s="611"/>
      <c r="C203" s="611"/>
      <c r="D203" s="611"/>
      <c r="E203" s="611"/>
      <c r="F203" s="611"/>
      <c r="G203" s="611"/>
      <c r="H203" s="611"/>
      <c r="I203" s="611"/>
      <c r="J203" s="612"/>
    </row>
    <row r="204" spans="1:10" ht="12.75" customHeight="1" x14ac:dyDescent="0.2">
      <c r="A204" s="610"/>
      <c r="B204" s="611"/>
      <c r="C204" s="611"/>
      <c r="D204" s="611"/>
      <c r="E204" s="611"/>
      <c r="F204" s="611"/>
      <c r="G204" s="611"/>
      <c r="H204" s="611"/>
      <c r="I204" s="611"/>
      <c r="J204" s="612"/>
    </row>
    <row r="205" spans="1:10" ht="12.75" customHeight="1" x14ac:dyDescent="0.2">
      <c r="A205" s="610"/>
      <c r="B205" s="611"/>
      <c r="C205" s="611"/>
      <c r="D205" s="611"/>
      <c r="E205" s="611"/>
      <c r="F205" s="611"/>
      <c r="G205" s="611"/>
      <c r="H205" s="611"/>
      <c r="I205" s="611"/>
      <c r="J205" s="612"/>
    </row>
    <row r="206" spans="1:10" ht="12.75" customHeight="1" x14ac:dyDescent="0.2">
      <c r="A206" s="610"/>
      <c r="B206" s="611"/>
      <c r="C206" s="611"/>
      <c r="D206" s="611"/>
      <c r="E206" s="611"/>
      <c r="F206" s="611"/>
      <c r="G206" s="611"/>
      <c r="H206" s="611"/>
      <c r="I206" s="611"/>
      <c r="J206" s="612"/>
    </row>
    <row r="207" spans="1:10" ht="12.75" customHeight="1" x14ac:dyDescent="0.2">
      <c r="A207" s="610"/>
      <c r="B207" s="611"/>
      <c r="C207" s="611"/>
      <c r="D207" s="611"/>
      <c r="E207" s="611"/>
      <c r="F207" s="611"/>
      <c r="G207" s="611"/>
      <c r="H207" s="611"/>
      <c r="I207" s="611"/>
      <c r="J207" s="612"/>
    </row>
    <row r="208" spans="1:10" ht="12.75" customHeight="1" x14ac:dyDescent="0.2">
      <c r="A208" s="610"/>
      <c r="B208" s="611"/>
      <c r="C208" s="611"/>
      <c r="D208" s="611"/>
      <c r="E208" s="611"/>
      <c r="F208" s="611"/>
      <c r="G208" s="611"/>
      <c r="H208" s="611"/>
      <c r="I208" s="611"/>
      <c r="J208" s="612"/>
    </row>
    <row r="209" spans="1:10" ht="12.75" customHeight="1" x14ac:dyDescent="0.2">
      <c r="A209" s="610"/>
      <c r="B209" s="611"/>
      <c r="C209" s="611"/>
      <c r="D209" s="611"/>
      <c r="E209" s="611"/>
      <c r="F209" s="611"/>
      <c r="G209" s="611"/>
      <c r="H209" s="611"/>
      <c r="I209" s="611"/>
      <c r="J209" s="612"/>
    </row>
    <row r="210" spans="1:10" ht="12.75" customHeight="1" x14ac:dyDescent="0.2">
      <c r="A210" s="610"/>
      <c r="B210" s="611"/>
      <c r="C210" s="611"/>
      <c r="D210" s="611"/>
      <c r="E210" s="611"/>
      <c r="F210" s="611"/>
      <c r="G210" s="611"/>
      <c r="H210" s="611"/>
      <c r="I210" s="611"/>
      <c r="J210" s="612"/>
    </row>
    <row r="211" spans="1:10" s="61" customFormat="1" x14ac:dyDescent="0.2">
      <c r="A211" s="55"/>
      <c r="B211" s="56"/>
      <c r="C211" s="57"/>
      <c r="D211" s="58"/>
      <c r="E211" s="58"/>
      <c r="F211" s="58"/>
      <c r="G211" s="58"/>
      <c r="H211" s="59"/>
      <c r="I211" s="57"/>
      <c r="J211" s="60"/>
    </row>
    <row r="212" spans="1:10" s="61" customFormat="1" ht="25.5" customHeight="1" x14ac:dyDescent="0.2">
      <c r="A212" s="619" t="s">
        <v>199</v>
      </c>
      <c r="B212" s="620"/>
      <c r="C212" s="620"/>
      <c r="D212" s="620"/>
      <c r="E212" s="620"/>
      <c r="F212" s="621"/>
      <c r="G212" s="622"/>
      <c r="H212" s="622"/>
      <c r="I212" s="622"/>
      <c r="J212" s="623"/>
    </row>
    <row r="213" spans="1:10" s="61" customFormat="1" ht="12.75" customHeight="1" x14ac:dyDescent="0.2">
      <c r="A213" s="348" t="s">
        <v>510</v>
      </c>
      <c r="B213" s="349"/>
      <c r="C213" s="349"/>
      <c r="D213" s="349"/>
      <c r="E213" s="349"/>
      <c r="F213" s="614"/>
      <c r="G213" s="614"/>
      <c r="H213" s="614"/>
      <c r="I213" s="614"/>
      <c r="J213" s="615"/>
    </row>
    <row r="214" spans="1:10" ht="12.75" customHeight="1" x14ac:dyDescent="0.2">
      <c r="A214" s="593" t="s">
        <v>367</v>
      </c>
      <c r="B214" s="594"/>
      <c r="C214" s="594"/>
      <c r="D214" s="594"/>
      <c r="E214" s="594"/>
      <c r="F214" s="594"/>
      <c r="G214" s="594"/>
      <c r="H214" s="594"/>
      <c r="I214" s="594"/>
      <c r="J214" s="595"/>
    </row>
    <row r="215" spans="1:10" ht="12.75" customHeight="1" x14ac:dyDescent="0.2">
      <c r="A215" s="596"/>
      <c r="B215" s="597"/>
      <c r="C215" s="597"/>
      <c r="D215" s="597"/>
      <c r="E215" s="597"/>
      <c r="F215" s="597"/>
      <c r="G215" s="597"/>
      <c r="H215" s="597"/>
      <c r="I215" s="597"/>
      <c r="J215" s="598"/>
    </row>
    <row r="216" spans="1:10" ht="12.75" customHeight="1" x14ac:dyDescent="0.2">
      <c r="A216" s="596"/>
      <c r="B216" s="597"/>
      <c r="C216" s="597"/>
      <c r="D216" s="597"/>
      <c r="E216" s="597"/>
      <c r="F216" s="597"/>
      <c r="G216" s="597"/>
      <c r="H216" s="597"/>
      <c r="I216" s="597"/>
      <c r="J216" s="598"/>
    </row>
    <row r="217" spans="1:10" ht="15" customHeight="1" x14ac:dyDescent="0.2">
      <c r="A217" s="599"/>
      <c r="B217" s="600"/>
      <c r="C217" s="600"/>
      <c r="D217" s="600"/>
      <c r="E217" s="600"/>
      <c r="F217" s="600"/>
      <c r="G217" s="600"/>
      <c r="H217" s="600"/>
      <c r="I217" s="600"/>
      <c r="J217" s="601"/>
    </row>
    <row r="218" spans="1:10" ht="12.75" customHeight="1" x14ac:dyDescent="0.2">
      <c r="A218" s="610"/>
      <c r="B218" s="611"/>
      <c r="C218" s="611"/>
      <c r="D218" s="611"/>
      <c r="E218" s="611"/>
      <c r="F218" s="611"/>
      <c r="G218" s="611"/>
      <c r="H218" s="611"/>
      <c r="I218" s="611"/>
      <c r="J218" s="612"/>
    </row>
    <row r="219" spans="1:10" ht="12.75" customHeight="1" x14ac:dyDescent="0.2">
      <c r="A219" s="610"/>
      <c r="B219" s="611"/>
      <c r="C219" s="611"/>
      <c r="D219" s="611"/>
      <c r="E219" s="611"/>
      <c r="F219" s="611"/>
      <c r="G219" s="611"/>
      <c r="H219" s="611"/>
      <c r="I219" s="611"/>
      <c r="J219" s="612"/>
    </row>
    <row r="220" spans="1:10" ht="12.75" customHeight="1" x14ac:dyDescent="0.2">
      <c r="A220" s="610"/>
      <c r="B220" s="611"/>
      <c r="C220" s="611"/>
      <c r="D220" s="611"/>
      <c r="E220" s="611"/>
      <c r="F220" s="611"/>
      <c r="G220" s="611"/>
      <c r="H220" s="611"/>
      <c r="I220" s="611"/>
      <c r="J220" s="612"/>
    </row>
    <row r="221" spans="1:10" ht="12.75" customHeight="1" x14ac:dyDescent="0.2">
      <c r="A221" s="610"/>
      <c r="B221" s="611"/>
      <c r="C221" s="611"/>
      <c r="D221" s="611"/>
      <c r="E221" s="611"/>
      <c r="F221" s="611"/>
      <c r="G221" s="611"/>
      <c r="H221" s="611"/>
      <c r="I221" s="611"/>
      <c r="J221" s="612"/>
    </row>
    <row r="222" spans="1:10" ht="12.75" customHeight="1" x14ac:dyDescent="0.2">
      <c r="A222" s="610"/>
      <c r="B222" s="611"/>
      <c r="C222" s="611"/>
      <c r="D222" s="611"/>
      <c r="E222" s="611"/>
      <c r="F222" s="611"/>
      <c r="G222" s="611"/>
      <c r="H222" s="611"/>
      <c r="I222" s="611"/>
      <c r="J222" s="612"/>
    </row>
    <row r="223" spans="1:10" ht="12.75" customHeight="1" x14ac:dyDescent="0.2">
      <c r="A223" s="610"/>
      <c r="B223" s="611"/>
      <c r="C223" s="611"/>
      <c r="D223" s="611"/>
      <c r="E223" s="611"/>
      <c r="F223" s="611"/>
      <c r="G223" s="611"/>
      <c r="H223" s="611"/>
      <c r="I223" s="611"/>
      <c r="J223" s="612"/>
    </row>
    <row r="224" spans="1:10" ht="12.75" customHeight="1" x14ac:dyDescent="0.2">
      <c r="A224" s="610"/>
      <c r="B224" s="611"/>
      <c r="C224" s="611"/>
      <c r="D224" s="611"/>
      <c r="E224" s="611"/>
      <c r="F224" s="611"/>
      <c r="G224" s="611"/>
      <c r="H224" s="611"/>
      <c r="I224" s="611"/>
      <c r="J224" s="612"/>
    </row>
    <row r="225" spans="1:10" ht="12.75" customHeight="1" x14ac:dyDescent="0.2">
      <c r="A225" s="610"/>
      <c r="B225" s="611"/>
      <c r="C225" s="611"/>
      <c r="D225" s="611"/>
      <c r="E225" s="611"/>
      <c r="F225" s="611"/>
      <c r="G225" s="611"/>
      <c r="H225" s="611"/>
      <c r="I225" s="611"/>
      <c r="J225" s="612"/>
    </row>
    <row r="226" spans="1:10" ht="12.75" customHeight="1" x14ac:dyDescent="0.2">
      <c r="A226" s="610"/>
      <c r="B226" s="611"/>
      <c r="C226" s="611"/>
      <c r="D226" s="611"/>
      <c r="E226" s="611"/>
      <c r="F226" s="611"/>
      <c r="G226" s="611"/>
      <c r="H226" s="611"/>
      <c r="I226" s="611"/>
      <c r="J226" s="612"/>
    </row>
    <row r="227" spans="1:10" ht="12.75" customHeight="1" x14ac:dyDescent="0.2">
      <c r="A227" s="610"/>
      <c r="B227" s="611"/>
      <c r="C227" s="611"/>
      <c r="D227" s="611"/>
      <c r="E227" s="611"/>
      <c r="F227" s="611"/>
      <c r="G227" s="611"/>
      <c r="H227" s="611"/>
      <c r="I227" s="611"/>
      <c r="J227" s="612"/>
    </row>
    <row r="228" spans="1:10" ht="12.75" customHeight="1" x14ac:dyDescent="0.2">
      <c r="A228" s="610"/>
      <c r="B228" s="611"/>
      <c r="C228" s="611"/>
      <c r="D228" s="611"/>
      <c r="E228" s="611"/>
      <c r="F228" s="611"/>
      <c r="G228" s="611"/>
      <c r="H228" s="611"/>
      <c r="I228" s="611"/>
      <c r="J228" s="612"/>
    </row>
    <row r="229" spans="1:10" ht="12.75" customHeight="1" x14ac:dyDescent="0.2">
      <c r="A229" s="610"/>
      <c r="B229" s="611"/>
      <c r="C229" s="611"/>
      <c r="D229" s="611"/>
      <c r="E229" s="611"/>
      <c r="F229" s="611"/>
      <c r="G229" s="611"/>
      <c r="H229" s="611"/>
      <c r="I229" s="611"/>
      <c r="J229" s="612"/>
    </row>
    <row r="230" spans="1:10" ht="12.75" customHeight="1" x14ac:dyDescent="0.2">
      <c r="A230" s="610"/>
      <c r="B230" s="611"/>
      <c r="C230" s="611"/>
      <c r="D230" s="611"/>
      <c r="E230" s="611"/>
      <c r="F230" s="611"/>
      <c r="G230" s="611"/>
      <c r="H230" s="611"/>
      <c r="I230" s="611"/>
      <c r="J230" s="612"/>
    </row>
    <row r="231" spans="1:10" ht="12.75" customHeight="1" x14ac:dyDescent="0.2">
      <c r="A231" s="610"/>
      <c r="B231" s="611"/>
      <c r="C231" s="611"/>
      <c r="D231" s="611"/>
      <c r="E231" s="611"/>
      <c r="F231" s="611"/>
      <c r="G231" s="611"/>
      <c r="H231" s="611"/>
      <c r="I231" s="611"/>
      <c r="J231" s="612"/>
    </row>
    <row r="232" spans="1:10" ht="12.75" customHeight="1" x14ac:dyDescent="0.2">
      <c r="A232" s="610"/>
      <c r="B232" s="611"/>
      <c r="C232" s="611"/>
      <c r="D232" s="611"/>
      <c r="E232" s="611"/>
      <c r="F232" s="611"/>
      <c r="G232" s="611"/>
      <c r="H232" s="611"/>
      <c r="I232" s="611"/>
      <c r="J232" s="612"/>
    </row>
    <row r="233" spans="1:10" ht="12.75" customHeight="1" x14ac:dyDescent="0.2">
      <c r="A233" s="610"/>
      <c r="B233" s="611"/>
      <c r="C233" s="611"/>
      <c r="D233" s="611"/>
      <c r="E233" s="611"/>
      <c r="F233" s="611"/>
      <c r="G233" s="611"/>
      <c r="H233" s="611"/>
      <c r="I233" s="611"/>
      <c r="J233" s="612"/>
    </row>
    <row r="234" spans="1:10" ht="12.75" customHeight="1" x14ac:dyDescent="0.2">
      <c r="A234" s="610"/>
      <c r="B234" s="611"/>
      <c r="C234" s="611"/>
      <c r="D234" s="611"/>
      <c r="E234" s="611"/>
      <c r="F234" s="611"/>
      <c r="G234" s="611"/>
      <c r="H234" s="611"/>
      <c r="I234" s="611"/>
      <c r="J234" s="612"/>
    </row>
    <row r="235" spans="1:10" ht="12.75" customHeight="1" x14ac:dyDescent="0.2">
      <c r="A235" s="610"/>
      <c r="B235" s="611"/>
      <c r="C235" s="611"/>
      <c r="D235" s="611"/>
      <c r="E235" s="611"/>
      <c r="F235" s="611"/>
      <c r="G235" s="611"/>
      <c r="H235" s="611"/>
      <c r="I235" s="611"/>
      <c r="J235" s="612"/>
    </row>
    <row r="236" spans="1:10" ht="12.75" customHeight="1" x14ac:dyDescent="0.2">
      <c r="A236" s="610"/>
      <c r="B236" s="611"/>
      <c r="C236" s="611"/>
      <c r="D236" s="611"/>
      <c r="E236" s="611"/>
      <c r="F236" s="611"/>
      <c r="G236" s="611"/>
      <c r="H236" s="611"/>
      <c r="I236" s="611"/>
      <c r="J236" s="612"/>
    </row>
    <row r="237" spans="1:10" ht="12.75" customHeight="1" x14ac:dyDescent="0.2">
      <c r="A237" s="610"/>
      <c r="B237" s="611"/>
      <c r="C237" s="611"/>
      <c r="D237" s="611"/>
      <c r="E237" s="611"/>
      <c r="F237" s="611"/>
      <c r="G237" s="611"/>
      <c r="H237" s="611"/>
      <c r="I237" s="611"/>
      <c r="J237" s="612"/>
    </row>
    <row r="238" spans="1:10" ht="12.75" customHeight="1" x14ac:dyDescent="0.2">
      <c r="A238" s="610"/>
      <c r="B238" s="611"/>
      <c r="C238" s="611"/>
      <c r="D238" s="611"/>
      <c r="E238" s="611"/>
      <c r="F238" s="611"/>
      <c r="G238" s="611"/>
      <c r="H238" s="611"/>
      <c r="I238" s="611"/>
      <c r="J238" s="612"/>
    </row>
    <row r="239" spans="1:10" ht="12.75" customHeight="1" x14ac:dyDescent="0.2">
      <c r="A239" s="610"/>
      <c r="B239" s="611"/>
      <c r="C239" s="611"/>
      <c r="D239" s="611"/>
      <c r="E239" s="611"/>
      <c r="F239" s="611"/>
      <c r="G239" s="611"/>
      <c r="H239" s="611"/>
      <c r="I239" s="611"/>
      <c r="J239" s="612"/>
    </row>
    <row r="240" spans="1:10" ht="12.75" customHeight="1" x14ac:dyDescent="0.2">
      <c r="A240" s="610"/>
      <c r="B240" s="611"/>
      <c r="C240" s="611"/>
      <c r="D240" s="611"/>
      <c r="E240" s="611"/>
      <c r="F240" s="611"/>
      <c r="G240" s="611"/>
      <c r="H240" s="611"/>
      <c r="I240" s="611"/>
      <c r="J240" s="612"/>
    </row>
    <row r="241" spans="1:10" ht="12.75" customHeight="1" x14ac:dyDescent="0.2">
      <c r="A241" s="610"/>
      <c r="B241" s="611"/>
      <c r="C241" s="611"/>
      <c r="D241" s="611"/>
      <c r="E241" s="611"/>
      <c r="F241" s="611"/>
      <c r="G241" s="611"/>
      <c r="H241" s="611"/>
      <c r="I241" s="611"/>
      <c r="J241" s="612"/>
    </row>
    <row r="242" spans="1:10" ht="12.75" customHeight="1" x14ac:dyDescent="0.2">
      <c r="A242" s="610"/>
      <c r="B242" s="611"/>
      <c r="C242" s="611"/>
      <c r="D242" s="611"/>
      <c r="E242" s="611"/>
      <c r="F242" s="611"/>
      <c r="G242" s="611"/>
      <c r="H242" s="611"/>
      <c r="I242" s="611"/>
      <c r="J242" s="612"/>
    </row>
    <row r="243" spans="1:10" ht="12.75" customHeight="1" x14ac:dyDescent="0.2">
      <c r="A243" s="610"/>
      <c r="B243" s="611"/>
      <c r="C243" s="611"/>
      <c r="D243" s="611"/>
      <c r="E243" s="611"/>
      <c r="F243" s="611"/>
      <c r="G243" s="611"/>
      <c r="H243" s="611"/>
      <c r="I243" s="611"/>
      <c r="J243" s="612"/>
    </row>
    <row r="244" spans="1:10" ht="12.75" customHeight="1" x14ac:dyDescent="0.2">
      <c r="A244" s="610"/>
      <c r="B244" s="611"/>
      <c r="C244" s="611"/>
      <c r="D244" s="611"/>
      <c r="E244" s="611"/>
      <c r="F244" s="611"/>
      <c r="G244" s="611"/>
      <c r="H244" s="611"/>
      <c r="I244" s="611"/>
      <c r="J244" s="612"/>
    </row>
    <row r="245" spans="1:10" ht="12.75" customHeight="1" x14ac:dyDescent="0.2">
      <c r="A245" s="610"/>
      <c r="B245" s="611"/>
      <c r="C245" s="611"/>
      <c r="D245" s="611"/>
      <c r="E245" s="611"/>
      <c r="F245" s="611"/>
      <c r="G245" s="611"/>
      <c r="H245" s="611"/>
      <c r="I245" s="611"/>
      <c r="J245" s="612"/>
    </row>
    <row r="246" spans="1:10" ht="12.75" customHeight="1" x14ac:dyDescent="0.2">
      <c r="A246" s="610"/>
      <c r="B246" s="611"/>
      <c r="C246" s="611"/>
      <c r="D246" s="611"/>
      <c r="E246" s="611"/>
      <c r="F246" s="611"/>
      <c r="G246" s="611"/>
      <c r="H246" s="611"/>
      <c r="I246" s="611"/>
      <c r="J246" s="612"/>
    </row>
    <row r="247" spans="1:10" ht="12.75" customHeight="1" x14ac:dyDescent="0.2">
      <c r="A247" s="610"/>
      <c r="B247" s="611"/>
      <c r="C247" s="611"/>
      <c r="D247" s="611"/>
      <c r="E247" s="611"/>
      <c r="F247" s="611"/>
      <c r="G247" s="611"/>
      <c r="H247" s="611"/>
      <c r="I247" s="611"/>
      <c r="J247" s="612"/>
    </row>
    <row r="248" spans="1:10" ht="12.75" customHeight="1" x14ac:dyDescent="0.2">
      <c r="A248" s="610"/>
      <c r="B248" s="611"/>
      <c r="C248" s="611"/>
      <c r="D248" s="611"/>
      <c r="E248" s="611"/>
      <c r="F248" s="611"/>
      <c r="G248" s="611"/>
      <c r="H248" s="611"/>
      <c r="I248" s="611"/>
      <c r="J248" s="612"/>
    </row>
    <row r="249" spans="1:10" ht="12.75" customHeight="1" x14ac:dyDescent="0.2">
      <c r="A249" s="610"/>
      <c r="B249" s="611"/>
      <c r="C249" s="611"/>
      <c r="D249" s="611"/>
      <c r="E249" s="611"/>
      <c r="F249" s="611"/>
      <c r="G249" s="611"/>
      <c r="H249" s="611"/>
      <c r="I249" s="611"/>
      <c r="J249" s="612"/>
    </row>
    <row r="250" spans="1:10" ht="12.75" customHeight="1" x14ac:dyDescent="0.2">
      <c r="A250" s="610"/>
      <c r="B250" s="611"/>
      <c r="C250" s="611"/>
      <c r="D250" s="611"/>
      <c r="E250" s="611"/>
      <c r="F250" s="611"/>
      <c r="G250" s="611"/>
      <c r="H250" s="611"/>
      <c r="I250" s="611"/>
      <c r="J250" s="612"/>
    </row>
    <row r="251" spans="1:10" ht="12.75" customHeight="1" x14ac:dyDescent="0.2">
      <c r="A251" s="610"/>
      <c r="B251" s="611"/>
      <c r="C251" s="611"/>
      <c r="D251" s="611"/>
      <c r="E251" s="611"/>
      <c r="F251" s="611"/>
      <c r="G251" s="611"/>
      <c r="H251" s="611"/>
      <c r="I251" s="611"/>
      <c r="J251" s="612"/>
    </row>
    <row r="252" spans="1:10" ht="12.75" customHeight="1" x14ac:dyDescent="0.2">
      <c r="A252" s="610"/>
      <c r="B252" s="611"/>
      <c r="C252" s="611"/>
      <c r="D252" s="611"/>
      <c r="E252" s="611"/>
      <c r="F252" s="611"/>
      <c r="G252" s="611"/>
      <c r="H252" s="611"/>
      <c r="I252" s="611"/>
      <c r="J252" s="612"/>
    </row>
    <row r="253" spans="1:10" s="61" customFormat="1" x14ac:dyDescent="0.2">
      <c r="A253" s="55"/>
      <c r="B253" s="56"/>
      <c r="C253" s="57"/>
      <c r="D253" s="58"/>
      <c r="E253" s="58"/>
      <c r="F253" s="58"/>
      <c r="G253" s="58"/>
      <c r="H253" s="59"/>
      <c r="I253" s="57"/>
      <c r="J253" s="60"/>
    </row>
    <row r="254" spans="1:10" s="61" customFormat="1" ht="25.5" customHeight="1" x14ac:dyDescent="0.2">
      <c r="A254" s="619" t="s">
        <v>198</v>
      </c>
      <c r="B254" s="620"/>
      <c r="C254" s="620"/>
      <c r="D254" s="620"/>
      <c r="E254" s="620"/>
      <c r="F254" s="621"/>
      <c r="G254" s="622"/>
      <c r="H254" s="622"/>
      <c r="I254" s="622"/>
      <c r="J254" s="623"/>
    </row>
    <row r="255" spans="1:10" s="61" customFormat="1" ht="12.75" customHeight="1" x14ac:dyDescent="0.2">
      <c r="A255" s="348" t="s">
        <v>510</v>
      </c>
      <c r="B255" s="349"/>
      <c r="C255" s="349"/>
      <c r="D255" s="349"/>
      <c r="E255" s="349"/>
      <c r="F255" s="614"/>
      <c r="G255" s="614"/>
      <c r="H255" s="614"/>
      <c r="I255" s="614"/>
      <c r="J255" s="615"/>
    </row>
    <row r="256" spans="1:10" ht="12.75" customHeight="1" x14ac:dyDescent="0.2">
      <c r="A256" s="593" t="s">
        <v>367</v>
      </c>
      <c r="B256" s="594"/>
      <c r="C256" s="594"/>
      <c r="D256" s="594"/>
      <c r="E256" s="594"/>
      <c r="F256" s="594"/>
      <c r="G256" s="594"/>
      <c r="H256" s="594"/>
      <c r="I256" s="594"/>
      <c r="J256" s="595"/>
    </row>
    <row r="257" spans="1:10" ht="12.75" customHeight="1" x14ac:dyDescent="0.2">
      <c r="A257" s="596"/>
      <c r="B257" s="597"/>
      <c r="C257" s="597"/>
      <c r="D257" s="597"/>
      <c r="E257" s="597"/>
      <c r="F257" s="597"/>
      <c r="G257" s="597"/>
      <c r="H257" s="597"/>
      <c r="I257" s="597"/>
      <c r="J257" s="598"/>
    </row>
    <row r="258" spans="1:10" ht="12.75" customHeight="1" x14ac:dyDescent="0.2">
      <c r="A258" s="596"/>
      <c r="B258" s="597"/>
      <c r="C258" s="597"/>
      <c r="D258" s="597"/>
      <c r="E258" s="597"/>
      <c r="F258" s="597"/>
      <c r="G258" s="597"/>
      <c r="H258" s="597"/>
      <c r="I258" s="597"/>
      <c r="J258" s="598"/>
    </row>
    <row r="259" spans="1:10" ht="15" customHeight="1" x14ac:dyDescent="0.2">
      <c r="A259" s="599"/>
      <c r="B259" s="600"/>
      <c r="C259" s="600"/>
      <c r="D259" s="600"/>
      <c r="E259" s="600"/>
      <c r="F259" s="600"/>
      <c r="G259" s="600"/>
      <c r="H259" s="600"/>
      <c r="I259" s="600"/>
      <c r="J259" s="601"/>
    </row>
    <row r="260" spans="1:10" ht="12.75" customHeight="1" x14ac:dyDescent="0.2">
      <c r="A260" s="610"/>
      <c r="B260" s="611"/>
      <c r="C260" s="611"/>
      <c r="D260" s="611"/>
      <c r="E260" s="611"/>
      <c r="F260" s="611"/>
      <c r="G260" s="611"/>
      <c r="H260" s="611"/>
      <c r="I260" s="611"/>
      <c r="J260" s="612"/>
    </row>
    <row r="261" spans="1:10" ht="12.75" customHeight="1" x14ac:dyDescent="0.2">
      <c r="A261" s="610"/>
      <c r="B261" s="611"/>
      <c r="C261" s="611"/>
      <c r="D261" s="611"/>
      <c r="E261" s="611"/>
      <c r="F261" s="611"/>
      <c r="G261" s="611"/>
      <c r="H261" s="611"/>
      <c r="I261" s="611"/>
      <c r="J261" s="612"/>
    </row>
    <row r="262" spans="1:10" ht="12.75" customHeight="1" x14ac:dyDescent="0.2">
      <c r="A262" s="610"/>
      <c r="B262" s="611"/>
      <c r="C262" s="611"/>
      <c r="D262" s="611"/>
      <c r="E262" s="611"/>
      <c r="F262" s="611"/>
      <c r="G262" s="611"/>
      <c r="H262" s="611"/>
      <c r="I262" s="611"/>
      <c r="J262" s="612"/>
    </row>
    <row r="263" spans="1:10" ht="12.75" customHeight="1" x14ac:dyDescent="0.2">
      <c r="A263" s="610"/>
      <c r="B263" s="611"/>
      <c r="C263" s="611"/>
      <c r="D263" s="611"/>
      <c r="E263" s="611"/>
      <c r="F263" s="611"/>
      <c r="G263" s="611"/>
      <c r="H263" s="611"/>
      <c r="I263" s="611"/>
      <c r="J263" s="612"/>
    </row>
    <row r="264" spans="1:10" ht="12.75" customHeight="1" x14ac:dyDescent="0.2">
      <c r="A264" s="610"/>
      <c r="B264" s="611"/>
      <c r="C264" s="611"/>
      <c r="D264" s="611"/>
      <c r="E264" s="611"/>
      <c r="F264" s="611"/>
      <c r="G264" s="611"/>
      <c r="H264" s="611"/>
      <c r="I264" s="611"/>
      <c r="J264" s="612"/>
    </row>
    <row r="265" spans="1:10" ht="12.75" customHeight="1" x14ac:dyDescent="0.2">
      <c r="A265" s="610"/>
      <c r="B265" s="611"/>
      <c r="C265" s="611"/>
      <c r="D265" s="611"/>
      <c r="E265" s="611"/>
      <c r="F265" s="611"/>
      <c r="G265" s="611"/>
      <c r="H265" s="611"/>
      <c r="I265" s="611"/>
      <c r="J265" s="612"/>
    </row>
    <row r="266" spans="1:10" ht="12.75" customHeight="1" x14ac:dyDescent="0.2">
      <c r="A266" s="610"/>
      <c r="B266" s="611"/>
      <c r="C266" s="611"/>
      <c r="D266" s="611"/>
      <c r="E266" s="611"/>
      <c r="F266" s="611"/>
      <c r="G266" s="611"/>
      <c r="H266" s="611"/>
      <c r="I266" s="611"/>
      <c r="J266" s="612"/>
    </row>
    <row r="267" spans="1:10" ht="12.75" customHeight="1" x14ac:dyDescent="0.2">
      <c r="A267" s="610"/>
      <c r="B267" s="611"/>
      <c r="C267" s="611"/>
      <c r="D267" s="611"/>
      <c r="E267" s="611"/>
      <c r="F267" s="611"/>
      <c r="G267" s="611"/>
      <c r="H267" s="611"/>
      <c r="I267" s="611"/>
      <c r="J267" s="612"/>
    </row>
    <row r="268" spans="1:10" ht="12.75" customHeight="1" x14ac:dyDescent="0.2">
      <c r="A268" s="610"/>
      <c r="B268" s="611"/>
      <c r="C268" s="611"/>
      <c r="D268" s="611"/>
      <c r="E268" s="611"/>
      <c r="F268" s="611"/>
      <c r="G268" s="611"/>
      <c r="H268" s="611"/>
      <c r="I268" s="611"/>
      <c r="J268" s="612"/>
    </row>
    <row r="269" spans="1:10" ht="12.75" customHeight="1" x14ac:dyDescent="0.2">
      <c r="A269" s="610"/>
      <c r="B269" s="611"/>
      <c r="C269" s="611"/>
      <c r="D269" s="611"/>
      <c r="E269" s="611"/>
      <c r="F269" s="611"/>
      <c r="G269" s="611"/>
      <c r="H269" s="611"/>
      <c r="I269" s="611"/>
      <c r="J269" s="612"/>
    </row>
    <row r="270" spans="1:10" ht="12.75" customHeight="1" x14ac:dyDescent="0.2">
      <c r="A270" s="610"/>
      <c r="B270" s="611"/>
      <c r="C270" s="611"/>
      <c r="D270" s="611"/>
      <c r="E270" s="611"/>
      <c r="F270" s="611"/>
      <c r="G270" s="611"/>
      <c r="H270" s="611"/>
      <c r="I270" s="611"/>
      <c r="J270" s="612"/>
    </row>
    <row r="271" spans="1:10" ht="12.75" customHeight="1" x14ac:dyDescent="0.2">
      <c r="A271" s="610"/>
      <c r="B271" s="611"/>
      <c r="C271" s="611"/>
      <c r="D271" s="611"/>
      <c r="E271" s="611"/>
      <c r="F271" s="611"/>
      <c r="G271" s="611"/>
      <c r="H271" s="611"/>
      <c r="I271" s="611"/>
      <c r="J271" s="612"/>
    </row>
    <row r="272" spans="1:10" ht="12.75" customHeight="1" x14ac:dyDescent="0.2">
      <c r="A272" s="610"/>
      <c r="B272" s="611"/>
      <c r="C272" s="611"/>
      <c r="D272" s="611"/>
      <c r="E272" s="611"/>
      <c r="F272" s="611"/>
      <c r="G272" s="611"/>
      <c r="H272" s="611"/>
      <c r="I272" s="611"/>
      <c r="J272" s="612"/>
    </row>
    <row r="273" spans="1:10" ht="12.75" customHeight="1" x14ac:dyDescent="0.2">
      <c r="A273" s="610"/>
      <c r="B273" s="611"/>
      <c r="C273" s="611"/>
      <c r="D273" s="611"/>
      <c r="E273" s="611"/>
      <c r="F273" s="611"/>
      <c r="G273" s="611"/>
      <c r="H273" s="611"/>
      <c r="I273" s="611"/>
      <c r="J273" s="612"/>
    </row>
    <row r="274" spans="1:10" ht="12.75" customHeight="1" x14ac:dyDescent="0.2">
      <c r="A274" s="610"/>
      <c r="B274" s="611"/>
      <c r="C274" s="611"/>
      <c r="D274" s="611"/>
      <c r="E274" s="611"/>
      <c r="F274" s="611"/>
      <c r="G274" s="611"/>
      <c r="H274" s="611"/>
      <c r="I274" s="611"/>
      <c r="J274" s="612"/>
    </row>
    <row r="275" spans="1:10" ht="12.75" customHeight="1" x14ac:dyDescent="0.2">
      <c r="A275" s="610"/>
      <c r="B275" s="611"/>
      <c r="C275" s="611"/>
      <c r="D275" s="611"/>
      <c r="E275" s="611"/>
      <c r="F275" s="611"/>
      <c r="G275" s="611"/>
      <c r="H275" s="611"/>
      <c r="I275" s="611"/>
      <c r="J275" s="612"/>
    </row>
    <row r="276" spans="1:10" ht="12.75" customHeight="1" x14ac:dyDescent="0.2">
      <c r="A276" s="610"/>
      <c r="B276" s="611"/>
      <c r="C276" s="611"/>
      <c r="D276" s="611"/>
      <c r="E276" s="611"/>
      <c r="F276" s="611"/>
      <c r="G276" s="611"/>
      <c r="H276" s="611"/>
      <c r="I276" s="611"/>
      <c r="J276" s="612"/>
    </row>
    <row r="277" spans="1:10" ht="12.75" customHeight="1" x14ac:dyDescent="0.2">
      <c r="A277" s="610"/>
      <c r="B277" s="611"/>
      <c r="C277" s="611"/>
      <c r="D277" s="611"/>
      <c r="E277" s="611"/>
      <c r="F277" s="611"/>
      <c r="G277" s="611"/>
      <c r="H277" s="611"/>
      <c r="I277" s="611"/>
      <c r="J277" s="612"/>
    </row>
    <row r="278" spans="1:10" ht="12.75" customHeight="1" x14ac:dyDescent="0.2">
      <c r="A278" s="610"/>
      <c r="B278" s="611"/>
      <c r="C278" s="611"/>
      <c r="D278" s="611"/>
      <c r="E278" s="611"/>
      <c r="F278" s="611"/>
      <c r="G278" s="611"/>
      <c r="H278" s="611"/>
      <c r="I278" s="611"/>
      <c r="J278" s="612"/>
    </row>
    <row r="279" spans="1:10" ht="12.75" customHeight="1" x14ac:dyDescent="0.2">
      <c r="A279" s="610"/>
      <c r="B279" s="611"/>
      <c r="C279" s="611"/>
      <c r="D279" s="611"/>
      <c r="E279" s="611"/>
      <c r="F279" s="611"/>
      <c r="G279" s="611"/>
      <c r="H279" s="611"/>
      <c r="I279" s="611"/>
      <c r="J279" s="612"/>
    </row>
    <row r="280" spans="1:10" ht="12.75" customHeight="1" x14ac:dyDescent="0.2">
      <c r="A280" s="610"/>
      <c r="B280" s="611"/>
      <c r="C280" s="611"/>
      <c r="D280" s="611"/>
      <c r="E280" s="611"/>
      <c r="F280" s="611"/>
      <c r="G280" s="611"/>
      <c r="H280" s="611"/>
      <c r="I280" s="611"/>
      <c r="J280" s="612"/>
    </row>
    <row r="281" spans="1:10" ht="12.75" customHeight="1" x14ac:dyDescent="0.2">
      <c r="A281" s="610"/>
      <c r="B281" s="611"/>
      <c r="C281" s="611"/>
      <c r="D281" s="611"/>
      <c r="E281" s="611"/>
      <c r="F281" s="611"/>
      <c r="G281" s="611"/>
      <c r="H281" s="611"/>
      <c r="I281" s="611"/>
      <c r="J281" s="612"/>
    </row>
    <row r="282" spans="1:10" ht="12.75" customHeight="1" x14ac:dyDescent="0.2">
      <c r="A282" s="610"/>
      <c r="B282" s="611"/>
      <c r="C282" s="611"/>
      <c r="D282" s="611"/>
      <c r="E282" s="611"/>
      <c r="F282" s="611"/>
      <c r="G282" s="611"/>
      <c r="H282" s="611"/>
      <c r="I282" s="611"/>
      <c r="J282" s="612"/>
    </row>
    <row r="283" spans="1:10" ht="12.75" customHeight="1" x14ac:dyDescent="0.2">
      <c r="A283" s="610"/>
      <c r="B283" s="611"/>
      <c r="C283" s="611"/>
      <c r="D283" s="611"/>
      <c r="E283" s="611"/>
      <c r="F283" s="611"/>
      <c r="G283" s="611"/>
      <c r="H283" s="611"/>
      <c r="I283" s="611"/>
      <c r="J283" s="612"/>
    </row>
    <row r="284" spans="1:10" ht="12.75" customHeight="1" x14ac:dyDescent="0.2">
      <c r="A284" s="610"/>
      <c r="B284" s="611"/>
      <c r="C284" s="611"/>
      <c r="D284" s="611"/>
      <c r="E284" s="611"/>
      <c r="F284" s="611"/>
      <c r="G284" s="611"/>
      <c r="H284" s="611"/>
      <c r="I284" s="611"/>
      <c r="J284" s="612"/>
    </row>
    <row r="285" spans="1:10" ht="12.75" customHeight="1" x14ac:dyDescent="0.2">
      <c r="A285" s="610"/>
      <c r="B285" s="611"/>
      <c r="C285" s="611"/>
      <c r="D285" s="611"/>
      <c r="E285" s="611"/>
      <c r="F285" s="611"/>
      <c r="G285" s="611"/>
      <c r="H285" s="611"/>
      <c r="I285" s="611"/>
      <c r="J285" s="612"/>
    </row>
    <row r="286" spans="1:10" ht="12.75" customHeight="1" x14ac:dyDescent="0.2">
      <c r="A286" s="610"/>
      <c r="B286" s="611"/>
      <c r="C286" s="611"/>
      <c r="D286" s="611"/>
      <c r="E286" s="611"/>
      <c r="F286" s="611"/>
      <c r="G286" s="611"/>
      <c r="H286" s="611"/>
      <c r="I286" s="611"/>
      <c r="J286" s="612"/>
    </row>
    <row r="287" spans="1:10" ht="12.75" customHeight="1" x14ac:dyDescent="0.2">
      <c r="A287" s="610"/>
      <c r="B287" s="611"/>
      <c r="C287" s="611"/>
      <c r="D287" s="611"/>
      <c r="E287" s="611"/>
      <c r="F287" s="611"/>
      <c r="G287" s="611"/>
      <c r="H287" s="611"/>
      <c r="I287" s="611"/>
      <c r="J287" s="612"/>
    </row>
    <row r="288" spans="1:10" ht="12.75" customHeight="1" x14ac:dyDescent="0.2">
      <c r="A288" s="610"/>
      <c r="B288" s="611"/>
      <c r="C288" s="611"/>
      <c r="D288" s="611"/>
      <c r="E288" s="611"/>
      <c r="F288" s="611"/>
      <c r="G288" s="611"/>
      <c r="H288" s="611"/>
      <c r="I288" s="611"/>
      <c r="J288" s="612"/>
    </row>
    <row r="289" spans="1:10" ht="12.75" customHeight="1" x14ac:dyDescent="0.2">
      <c r="A289" s="610"/>
      <c r="B289" s="611"/>
      <c r="C289" s="611"/>
      <c r="D289" s="611"/>
      <c r="E289" s="611"/>
      <c r="F289" s="611"/>
      <c r="G289" s="611"/>
      <c r="H289" s="611"/>
      <c r="I289" s="611"/>
      <c r="J289" s="612"/>
    </row>
    <row r="290" spans="1:10" ht="12.75" customHeight="1" x14ac:dyDescent="0.2">
      <c r="A290" s="610"/>
      <c r="B290" s="611"/>
      <c r="C290" s="611"/>
      <c r="D290" s="611"/>
      <c r="E290" s="611"/>
      <c r="F290" s="611"/>
      <c r="G290" s="611"/>
      <c r="H290" s="611"/>
      <c r="I290" s="611"/>
      <c r="J290" s="612"/>
    </row>
    <row r="291" spans="1:10" ht="12.75" customHeight="1" x14ac:dyDescent="0.2">
      <c r="A291" s="610"/>
      <c r="B291" s="611"/>
      <c r="C291" s="611"/>
      <c r="D291" s="611"/>
      <c r="E291" s="611"/>
      <c r="F291" s="611"/>
      <c r="G291" s="611"/>
      <c r="H291" s="611"/>
      <c r="I291" s="611"/>
      <c r="J291" s="612"/>
    </row>
    <row r="292" spans="1:10" ht="12.75" customHeight="1" x14ac:dyDescent="0.2">
      <c r="A292" s="610"/>
      <c r="B292" s="611"/>
      <c r="C292" s="611"/>
      <c r="D292" s="611"/>
      <c r="E292" s="611"/>
      <c r="F292" s="611"/>
      <c r="G292" s="611"/>
      <c r="H292" s="611"/>
      <c r="I292" s="611"/>
      <c r="J292" s="612"/>
    </row>
    <row r="293" spans="1:10" ht="12.75" customHeight="1" x14ac:dyDescent="0.2">
      <c r="A293" s="610"/>
      <c r="B293" s="611"/>
      <c r="C293" s="611"/>
      <c r="D293" s="611"/>
      <c r="E293" s="611"/>
      <c r="F293" s="611"/>
      <c r="G293" s="611"/>
      <c r="H293" s="611"/>
      <c r="I293" s="611"/>
      <c r="J293" s="612"/>
    </row>
    <row r="294" spans="1:10" ht="12.75" customHeight="1" x14ac:dyDescent="0.2">
      <c r="A294" s="610"/>
      <c r="B294" s="611"/>
      <c r="C294" s="611"/>
      <c r="D294" s="611"/>
      <c r="E294" s="611"/>
      <c r="F294" s="611"/>
      <c r="G294" s="611"/>
      <c r="H294" s="611"/>
      <c r="I294" s="611"/>
      <c r="J294" s="612"/>
    </row>
    <row r="295" spans="1:10" s="61" customFormat="1" x14ac:dyDescent="0.2">
      <c r="A295" s="55"/>
      <c r="B295" s="56"/>
      <c r="C295" s="57"/>
      <c r="D295" s="58"/>
      <c r="E295" s="58"/>
      <c r="F295" s="58"/>
      <c r="G295" s="58"/>
      <c r="H295" s="59"/>
      <c r="I295" s="57"/>
      <c r="J295" s="60"/>
    </row>
    <row r="296" spans="1:10" s="61" customFormat="1" ht="25.5" customHeight="1" x14ac:dyDescent="0.2">
      <c r="A296" s="619" t="s">
        <v>197</v>
      </c>
      <c r="B296" s="620"/>
      <c r="C296" s="620"/>
      <c r="D296" s="620"/>
      <c r="E296" s="620"/>
      <c r="F296" s="621"/>
      <c r="G296" s="622"/>
      <c r="H296" s="622"/>
      <c r="I296" s="622"/>
      <c r="J296" s="623"/>
    </row>
    <row r="297" spans="1:10" s="61" customFormat="1" ht="12.75" customHeight="1" x14ac:dyDescent="0.2">
      <c r="A297" s="348" t="s">
        <v>510</v>
      </c>
      <c r="B297" s="349"/>
      <c r="C297" s="349"/>
      <c r="D297" s="349"/>
      <c r="E297" s="349"/>
      <c r="F297" s="614"/>
      <c r="G297" s="614"/>
      <c r="H297" s="614"/>
      <c r="I297" s="614"/>
      <c r="J297" s="615"/>
    </row>
    <row r="298" spans="1:10" ht="12.75" customHeight="1" x14ac:dyDescent="0.2">
      <c r="A298" s="593" t="s">
        <v>367</v>
      </c>
      <c r="B298" s="594"/>
      <c r="C298" s="594"/>
      <c r="D298" s="594"/>
      <c r="E298" s="594"/>
      <c r="F298" s="594"/>
      <c r="G298" s="594"/>
      <c r="H298" s="594"/>
      <c r="I298" s="594"/>
      <c r="J298" s="595"/>
    </row>
    <row r="299" spans="1:10" ht="12.75" customHeight="1" x14ac:dyDescent="0.2">
      <c r="A299" s="596"/>
      <c r="B299" s="597"/>
      <c r="C299" s="597"/>
      <c r="D299" s="597"/>
      <c r="E299" s="597"/>
      <c r="F299" s="597"/>
      <c r="G299" s="597"/>
      <c r="H299" s="597"/>
      <c r="I299" s="597"/>
      <c r="J299" s="598"/>
    </row>
    <row r="300" spans="1:10" ht="12.75" customHeight="1" x14ac:dyDescent="0.2">
      <c r="A300" s="596"/>
      <c r="B300" s="597"/>
      <c r="C300" s="597"/>
      <c r="D300" s="597"/>
      <c r="E300" s="597"/>
      <c r="F300" s="597"/>
      <c r="G300" s="597"/>
      <c r="H300" s="597"/>
      <c r="I300" s="597"/>
      <c r="J300" s="598"/>
    </row>
    <row r="301" spans="1:10" ht="15" customHeight="1" x14ac:dyDescent="0.2">
      <c r="A301" s="599"/>
      <c r="B301" s="600"/>
      <c r="C301" s="600"/>
      <c r="D301" s="600"/>
      <c r="E301" s="600"/>
      <c r="F301" s="600"/>
      <c r="G301" s="600"/>
      <c r="H301" s="600"/>
      <c r="I301" s="600"/>
      <c r="J301" s="601"/>
    </row>
    <row r="302" spans="1:10" ht="12.75" customHeight="1" x14ac:dyDescent="0.2">
      <c r="A302" s="610"/>
      <c r="B302" s="611"/>
      <c r="C302" s="611"/>
      <c r="D302" s="611"/>
      <c r="E302" s="611"/>
      <c r="F302" s="611"/>
      <c r="G302" s="611"/>
      <c r="H302" s="611"/>
      <c r="I302" s="611"/>
      <c r="J302" s="612"/>
    </row>
    <row r="303" spans="1:10" ht="12.75" customHeight="1" x14ac:dyDescent="0.2">
      <c r="A303" s="610"/>
      <c r="B303" s="611"/>
      <c r="C303" s="611"/>
      <c r="D303" s="611"/>
      <c r="E303" s="611"/>
      <c r="F303" s="611"/>
      <c r="G303" s="611"/>
      <c r="H303" s="611"/>
      <c r="I303" s="611"/>
      <c r="J303" s="612"/>
    </row>
    <row r="304" spans="1:10" ht="12.75" customHeight="1" x14ac:dyDescent="0.2">
      <c r="A304" s="610"/>
      <c r="B304" s="611"/>
      <c r="C304" s="611"/>
      <c r="D304" s="611"/>
      <c r="E304" s="611"/>
      <c r="F304" s="611"/>
      <c r="G304" s="611"/>
      <c r="H304" s="611"/>
      <c r="I304" s="611"/>
      <c r="J304" s="612"/>
    </row>
    <row r="305" spans="1:10" ht="12.75" customHeight="1" x14ac:dyDescent="0.2">
      <c r="A305" s="610"/>
      <c r="B305" s="611"/>
      <c r="C305" s="611"/>
      <c r="D305" s="611"/>
      <c r="E305" s="611"/>
      <c r="F305" s="611"/>
      <c r="G305" s="611"/>
      <c r="H305" s="611"/>
      <c r="I305" s="611"/>
      <c r="J305" s="612"/>
    </row>
    <row r="306" spans="1:10" ht="12.75" customHeight="1" x14ac:dyDescent="0.2">
      <c r="A306" s="610"/>
      <c r="B306" s="611"/>
      <c r="C306" s="611"/>
      <c r="D306" s="611"/>
      <c r="E306" s="611"/>
      <c r="F306" s="611"/>
      <c r="G306" s="611"/>
      <c r="H306" s="611"/>
      <c r="I306" s="611"/>
      <c r="J306" s="612"/>
    </row>
    <row r="307" spans="1:10" ht="12.75" customHeight="1" x14ac:dyDescent="0.2">
      <c r="A307" s="610"/>
      <c r="B307" s="611"/>
      <c r="C307" s="611"/>
      <c r="D307" s="611"/>
      <c r="E307" s="611"/>
      <c r="F307" s="611"/>
      <c r="G307" s="611"/>
      <c r="H307" s="611"/>
      <c r="I307" s="611"/>
      <c r="J307" s="612"/>
    </row>
    <row r="308" spans="1:10" ht="12.75" customHeight="1" x14ac:dyDescent="0.2">
      <c r="A308" s="610"/>
      <c r="B308" s="611"/>
      <c r="C308" s="611"/>
      <c r="D308" s="611"/>
      <c r="E308" s="611"/>
      <c r="F308" s="611"/>
      <c r="G308" s="611"/>
      <c r="H308" s="611"/>
      <c r="I308" s="611"/>
      <c r="J308" s="612"/>
    </row>
    <row r="309" spans="1:10" ht="12.75" customHeight="1" x14ac:dyDescent="0.2">
      <c r="A309" s="610"/>
      <c r="B309" s="611"/>
      <c r="C309" s="611"/>
      <c r="D309" s="611"/>
      <c r="E309" s="611"/>
      <c r="F309" s="611"/>
      <c r="G309" s="611"/>
      <c r="H309" s="611"/>
      <c r="I309" s="611"/>
      <c r="J309" s="612"/>
    </row>
    <row r="310" spans="1:10" ht="12.75" customHeight="1" x14ac:dyDescent="0.2">
      <c r="A310" s="610"/>
      <c r="B310" s="611"/>
      <c r="C310" s="611"/>
      <c r="D310" s="611"/>
      <c r="E310" s="611"/>
      <c r="F310" s="611"/>
      <c r="G310" s="611"/>
      <c r="H310" s="611"/>
      <c r="I310" s="611"/>
      <c r="J310" s="612"/>
    </row>
    <row r="311" spans="1:10" ht="12.75" customHeight="1" x14ac:dyDescent="0.2">
      <c r="A311" s="610"/>
      <c r="B311" s="611"/>
      <c r="C311" s="611"/>
      <c r="D311" s="611"/>
      <c r="E311" s="611"/>
      <c r="F311" s="611"/>
      <c r="G311" s="611"/>
      <c r="H311" s="611"/>
      <c r="I311" s="611"/>
      <c r="J311" s="612"/>
    </row>
    <row r="312" spans="1:10" ht="12.75" customHeight="1" x14ac:dyDescent="0.2">
      <c r="A312" s="610"/>
      <c r="B312" s="611"/>
      <c r="C312" s="611"/>
      <c r="D312" s="611"/>
      <c r="E312" s="611"/>
      <c r="F312" s="611"/>
      <c r="G312" s="611"/>
      <c r="H312" s="611"/>
      <c r="I312" s="611"/>
      <c r="J312" s="612"/>
    </row>
    <row r="313" spans="1:10" ht="12.75" customHeight="1" x14ac:dyDescent="0.2">
      <c r="A313" s="610"/>
      <c r="B313" s="611"/>
      <c r="C313" s="611"/>
      <c r="D313" s="611"/>
      <c r="E313" s="611"/>
      <c r="F313" s="611"/>
      <c r="G313" s="611"/>
      <c r="H313" s="611"/>
      <c r="I313" s="611"/>
      <c r="J313" s="612"/>
    </row>
    <row r="314" spans="1:10" ht="12.75" customHeight="1" x14ac:dyDescent="0.2">
      <c r="A314" s="610"/>
      <c r="B314" s="611"/>
      <c r="C314" s="611"/>
      <c r="D314" s="611"/>
      <c r="E314" s="611"/>
      <c r="F314" s="611"/>
      <c r="G314" s="611"/>
      <c r="H314" s="611"/>
      <c r="I314" s="611"/>
      <c r="J314" s="612"/>
    </row>
    <row r="315" spans="1:10" ht="12.75" customHeight="1" x14ac:dyDescent="0.2">
      <c r="A315" s="610"/>
      <c r="B315" s="611"/>
      <c r="C315" s="611"/>
      <c r="D315" s="611"/>
      <c r="E315" s="611"/>
      <c r="F315" s="611"/>
      <c r="G315" s="611"/>
      <c r="H315" s="611"/>
      <c r="I315" s="611"/>
      <c r="J315" s="612"/>
    </row>
    <row r="316" spans="1:10" ht="12.75" customHeight="1" x14ac:dyDescent="0.2">
      <c r="A316" s="610"/>
      <c r="B316" s="611"/>
      <c r="C316" s="611"/>
      <c r="D316" s="611"/>
      <c r="E316" s="611"/>
      <c r="F316" s="611"/>
      <c r="G316" s="611"/>
      <c r="H316" s="611"/>
      <c r="I316" s="611"/>
      <c r="J316" s="612"/>
    </row>
    <row r="317" spans="1:10" ht="12.75" customHeight="1" x14ac:dyDescent="0.2">
      <c r="A317" s="610"/>
      <c r="B317" s="611"/>
      <c r="C317" s="611"/>
      <c r="D317" s="611"/>
      <c r="E317" s="611"/>
      <c r="F317" s="611"/>
      <c r="G317" s="611"/>
      <c r="H317" s="611"/>
      <c r="I317" s="611"/>
      <c r="J317" s="612"/>
    </row>
    <row r="318" spans="1:10" ht="12.75" customHeight="1" x14ac:dyDescent="0.2">
      <c r="A318" s="610"/>
      <c r="B318" s="611"/>
      <c r="C318" s="611"/>
      <c r="D318" s="611"/>
      <c r="E318" s="611"/>
      <c r="F318" s="611"/>
      <c r="G318" s="611"/>
      <c r="H318" s="611"/>
      <c r="I318" s="611"/>
      <c r="J318" s="612"/>
    </row>
    <row r="319" spans="1:10" ht="12.75" customHeight="1" x14ac:dyDescent="0.2">
      <c r="A319" s="610"/>
      <c r="B319" s="611"/>
      <c r="C319" s="611"/>
      <c r="D319" s="611"/>
      <c r="E319" s="611"/>
      <c r="F319" s="611"/>
      <c r="G319" s="611"/>
      <c r="H319" s="611"/>
      <c r="I319" s="611"/>
      <c r="J319" s="612"/>
    </row>
    <row r="320" spans="1:10" ht="12.75" customHeight="1" x14ac:dyDescent="0.2">
      <c r="A320" s="610"/>
      <c r="B320" s="611"/>
      <c r="C320" s="611"/>
      <c r="D320" s="611"/>
      <c r="E320" s="611"/>
      <c r="F320" s="611"/>
      <c r="G320" s="611"/>
      <c r="H320" s="611"/>
      <c r="I320" s="611"/>
      <c r="J320" s="612"/>
    </row>
    <row r="321" spans="1:10" ht="12.75" customHeight="1" x14ac:dyDescent="0.2">
      <c r="A321" s="610"/>
      <c r="B321" s="611"/>
      <c r="C321" s="611"/>
      <c r="D321" s="611"/>
      <c r="E321" s="611"/>
      <c r="F321" s="611"/>
      <c r="G321" s="611"/>
      <c r="H321" s="611"/>
      <c r="I321" s="611"/>
      <c r="J321" s="612"/>
    </row>
    <row r="322" spans="1:10" ht="12.75" customHeight="1" x14ac:dyDescent="0.2">
      <c r="A322" s="610"/>
      <c r="B322" s="611"/>
      <c r="C322" s="611"/>
      <c r="D322" s="611"/>
      <c r="E322" s="611"/>
      <c r="F322" s="611"/>
      <c r="G322" s="611"/>
      <c r="H322" s="611"/>
      <c r="I322" s="611"/>
      <c r="J322" s="612"/>
    </row>
    <row r="323" spans="1:10" ht="12.75" customHeight="1" x14ac:dyDescent="0.2">
      <c r="A323" s="610"/>
      <c r="B323" s="611"/>
      <c r="C323" s="611"/>
      <c r="D323" s="611"/>
      <c r="E323" s="611"/>
      <c r="F323" s="611"/>
      <c r="G323" s="611"/>
      <c r="H323" s="611"/>
      <c r="I323" s="611"/>
      <c r="J323" s="612"/>
    </row>
    <row r="324" spans="1:10" ht="12.75" customHeight="1" x14ac:dyDescent="0.2">
      <c r="A324" s="610"/>
      <c r="B324" s="611"/>
      <c r="C324" s="611"/>
      <c r="D324" s="611"/>
      <c r="E324" s="611"/>
      <c r="F324" s="611"/>
      <c r="G324" s="611"/>
      <c r="H324" s="611"/>
      <c r="I324" s="611"/>
      <c r="J324" s="612"/>
    </row>
    <row r="325" spans="1:10" ht="12.75" customHeight="1" x14ac:dyDescent="0.2">
      <c r="A325" s="610"/>
      <c r="B325" s="611"/>
      <c r="C325" s="611"/>
      <c r="D325" s="611"/>
      <c r="E325" s="611"/>
      <c r="F325" s="611"/>
      <c r="G325" s="611"/>
      <c r="H325" s="611"/>
      <c r="I325" s="611"/>
      <c r="J325" s="612"/>
    </row>
    <row r="326" spans="1:10" ht="12.75" customHeight="1" x14ac:dyDescent="0.2">
      <c r="A326" s="610"/>
      <c r="B326" s="611"/>
      <c r="C326" s="611"/>
      <c r="D326" s="611"/>
      <c r="E326" s="611"/>
      <c r="F326" s="611"/>
      <c r="G326" s="611"/>
      <c r="H326" s="611"/>
      <c r="I326" s="611"/>
      <c r="J326" s="612"/>
    </row>
    <row r="327" spans="1:10" ht="12.75" customHeight="1" x14ac:dyDescent="0.2">
      <c r="A327" s="610"/>
      <c r="B327" s="611"/>
      <c r="C327" s="611"/>
      <c r="D327" s="611"/>
      <c r="E327" s="611"/>
      <c r="F327" s="611"/>
      <c r="G327" s="611"/>
      <c r="H327" s="611"/>
      <c r="I327" s="611"/>
      <c r="J327" s="612"/>
    </row>
    <row r="328" spans="1:10" ht="12.75" customHeight="1" x14ac:dyDescent="0.2">
      <c r="A328" s="610"/>
      <c r="B328" s="611"/>
      <c r="C328" s="611"/>
      <c r="D328" s="611"/>
      <c r="E328" s="611"/>
      <c r="F328" s="611"/>
      <c r="G328" s="611"/>
      <c r="H328" s="611"/>
      <c r="I328" s="611"/>
      <c r="J328" s="612"/>
    </row>
    <row r="329" spans="1:10" ht="12.75" customHeight="1" x14ac:dyDescent="0.2">
      <c r="A329" s="610"/>
      <c r="B329" s="611"/>
      <c r="C329" s="611"/>
      <c r="D329" s="611"/>
      <c r="E329" s="611"/>
      <c r="F329" s="611"/>
      <c r="G329" s="611"/>
      <c r="H329" s="611"/>
      <c r="I329" s="611"/>
      <c r="J329" s="612"/>
    </row>
    <row r="330" spans="1:10" ht="12.75" customHeight="1" x14ac:dyDescent="0.2">
      <c r="A330" s="610"/>
      <c r="B330" s="611"/>
      <c r="C330" s="611"/>
      <c r="D330" s="611"/>
      <c r="E330" s="611"/>
      <c r="F330" s="611"/>
      <c r="G330" s="611"/>
      <c r="H330" s="611"/>
      <c r="I330" s="611"/>
      <c r="J330" s="612"/>
    </row>
    <row r="331" spans="1:10" ht="12.75" customHeight="1" x14ac:dyDescent="0.2">
      <c r="A331" s="610"/>
      <c r="B331" s="611"/>
      <c r="C331" s="611"/>
      <c r="D331" s="611"/>
      <c r="E331" s="611"/>
      <c r="F331" s="611"/>
      <c r="G331" s="611"/>
      <c r="H331" s="611"/>
      <c r="I331" s="611"/>
      <c r="J331" s="612"/>
    </row>
    <row r="332" spans="1:10" ht="12.75" customHeight="1" x14ac:dyDescent="0.2">
      <c r="A332" s="610"/>
      <c r="B332" s="611"/>
      <c r="C332" s="611"/>
      <c r="D332" s="611"/>
      <c r="E332" s="611"/>
      <c r="F332" s="611"/>
      <c r="G332" s="611"/>
      <c r="H332" s="611"/>
      <c r="I332" s="611"/>
      <c r="J332" s="612"/>
    </row>
    <row r="333" spans="1:10" ht="12.75" customHeight="1" x14ac:dyDescent="0.2">
      <c r="A333" s="610"/>
      <c r="B333" s="611"/>
      <c r="C333" s="611"/>
      <c r="D333" s="611"/>
      <c r="E333" s="611"/>
      <c r="F333" s="611"/>
      <c r="G333" s="611"/>
      <c r="H333" s="611"/>
      <c r="I333" s="611"/>
      <c r="J333" s="612"/>
    </row>
    <row r="334" spans="1:10" ht="12.75" customHeight="1" x14ac:dyDescent="0.2">
      <c r="A334" s="610"/>
      <c r="B334" s="611"/>
      <c r="C334" s="611"/>
      <c r="D334" s="611"/>
      <c r="E334" s="611"/>
      <c r="F334" s="611"/>
      <c r="G334" s="611"/>
      <c r="H334" s="611"/>
      <c r="I334" s="611"/>
      <c r="J334" s="612"/>
    </row>
    <row r="335" spans="1:10" ht="12.75" customHeight="1" x14ac:dyDescent="0.2">
      <c r="A335" s="610"/>
      <c r="B335" s="611"/>
      <c r="C335" s="611"/>
      <c r="D335" s="611"/>
      <c r="E335" s="611"/>
      <c r="F335" s="611"/>
      <c r="G335" s="611"/>
      <c r="H335" s="611"/>
      <c r="I335" s="611"/>
      <c r="J335" s="612"/>
    </row>
    <row r="336" spans="1:10" ht="12.75" customHeight="1" x14ac:dyDescent="0.2">
      <c r="A336" s="610"/>
      <c r="B336" s="611"/>
      <c r="C336" s="611"/>
      <c r="D336" s="611"/>
      <c r="E336" s="611"/>
      <c r="F336" s="611"/>
      <c r="G336" s="611"/>
      <c r="H336" s="611"/>
      <c r="I336" s="611"/>
      <c r="J336" s="612"/>
    </row>
    <row r="337" spans="1:10" s="61" customFormat="1" x14ac:dyDescent="0.2">
      <c r="A337" s="55"/>
      <c r="B337" s="56"/>
      <c r="C337" s="57"/>
      <c r="D337" s="58"/>
      <c r="E337" s="58"/>
      <c r="F337" s="58"/>
      <c r="G337" s="58"/>
      <c r="H337" s="59"/>
      <c r="I337" s="57"/>
      <c r="J337" s="60"/>
    </row>
    <row r="338" spans="1:10" s="61" customFormat="1" ht="25.5" customHeight="1" x14ac:dyDescent="0.2">
      <c r="A338" s="619" t="s">
        <v>196</v>
      </c>
      <c r="B338" s="620"/>
      <c r="C338" s="620"/>
      <c r="D338" s="620"/>
      <c r="E338" s="620"/>
      <c r="F338" s="621"/>
      <c r="G338" s="622"/>
      <c r="H338" s="622"/>
      <c r="I338" s="622"/>
      <c r="J338" s="623"/>
    </row>
    <row r="339" spans="1:10" s="61" customFormat="1" ht="12.75" customHeight="1" x14ac:dyDescent="0.2">
      <c r="A339" s="348" t="s">
        <v>510</v>
      </c>
      <c r="B339" s="349"/>
      <c r="C339" s="349"/>
      <c r="D339" s="349"/>
      <c r="E339" s="349"/>
      <c r="F339" s="614"/>
      <c r="G339" s="614"/>
      <c r="H339" s="614"/>
      <c r="I339" s="614"/>
      <c r="J339" s="615"/>
    </row>
    <row r="340" spans="1:10" ht="12.75" customHeight="1" x14ac:dyDescent="0.2">
      <c r="A340" s="593" t="s">
        <v>367</v>
      </c>
      <c r="B340" s="594"/>
      <c r="C340" s="594"/>
      <c r="D340" s="594"/>
      <c r="E340" s="594"/>
      <c r="F340" s="594"/>
      <c r="G340" s="594"/>
      <c r="H340" s="594"/>
      <c r="I340" s="594"/>
      <c r="J340" s="595"/>
    </row>
    <row r="341" spans="1:10" ht="12.75" customHeight="1" x14ac:dyDescent="0.2">
      <c r="A341" s="596"/>
      <c r="B341" s="597"/>
      <c r="C341" s="597"/>
      <c r="D341" s="597"/>
      <c r="E341" s="597"/>
      <c r="F341" s="597"/>
      <c r="G341" s="597"/>
      <c r="H341" s="597"/>
      <c r="I341" s="597"/>
      <c r="J341" s="598"/>
    </row>
    <row r="342" spans="1:10" ht="12.75" customHeight="1" x14ac:dyDescent="0.2">
      <c r="A342" s="596"/>
      <c r="B342" s="597"/>
      <c r="C342" s="597"/>
      <c r="D342" s="597"/>
      <c r="E342" s="597"/>
      <c r="F342" s="597"/>
      <c r="G342" s="597"/>
      <c r="H342" s="597"/>
      <c r="I342" s="597"/>
      <c r="J342" s="598"/>
    </row>
    <row r="343" spans="1:10" ht="15" customHeight="1" x14ac:dyDescent="0.2">
      <c r="A343" s="599"/>
      <c r="B343" s="600"/>
      <c r="C343" s="600"/>
      <c r="D343" s="600"/>
      <c r="E343" s="600"/>
      <c r="F343" s="600"/>
      <c r="G343" s="600"/>
      <c r="H343" s="600"/>
      <c r="I343" s="600"/>
      <c r="J343" s="601"/>
    </row>
    <row r="344" spans="1:10" ht="12.75" customHeight="1" x14ac:dyDescent="0.2">
      <c r="A344" s="610"/>
      <c r="B344" s="611"/>
      <c r="C344" s="611"/>
      <c r="D344" s="611"/>
      <c r="E344" s="611"/>
      <c r="F344" s="611"/>
      <c r="G344" s="611"/>
      <c r="H344" s="611"/>
      <c r="I344" s="611"/>
      <c r="J344" s="612"/>
    </row>
    <row r="345" spans="1:10" ht="12.75" customHeight="1" x14ac:dyDescent="0.2">
      <c r="A345" s="610"/>
      <c r="B345" s="611"/>
      <c r="C345" s="611"/>
      <c r="D345" s="611"/>
      <c r="E345" s="611"/>
      <c r="F345" s="611"/>
      <c r="G345" s="611"/>
      <c r="H345" s="611"/>
      <c r="I345" s="611"/>
      <c r="J345" s="612"/>
    </row>
    <row r="346" spans="1:10" ht="12.75" customHeight="1" x14ac:dyDescent="0.2">
      <c r="A346" s="610"/>
      <c r="B346" s="611"/>
      <c r="C346" s="611"/>
      <c r="D346" s="611"/>
      <c r="E346" s="611"/>
      <c r="F346" s="611"/>
      <c r="G346" s="611"/>
      <c r="H346" s="611"/>
      <c r="I346" s="611"/>
      <c r="J346" s="612"/>
    </row>
    <row r="347" spans="1:10" ht="12.75" customHeight="1" x14ac:dyDescent="0.2">
      <c r="A347" s="610"/>
      <c r="B347" s="611"/>
      <c r="C347" s="611"/>
      <c r="D347" s="611"/>
      <c r="E347" s="611"/>
      <c r="F347" s="611"/>
      <c r="G347" s="611"/>
      <c r="H347" s="611"/>
      <c r="I347" s="611"/>
      <c r="J347" s="612"/>
    </row>
    <row r="348" spans="1:10" ht="12.75" customHeight="1" x14ac:dyDescent="0.2">
      <c r="A348" s="610"/>
      <c r="B348" s="611"/>
      <c r="C348" s="611"/>
      <c r="D348" s="611"/>
      <c r="E348" s="611"/>
      <c r="F348" s="611"/>
      <c r="G348" s="611"/>
      <c r="H348" s="611"/>
      <c r="I348" s="611"/>
      <c r="J348" s="612"/>
    </row>
    <row r="349" spans="1:10" ht="12.75" customHeight="1" x14ac:dyDescent="0.2">
      <c r="A349" s="610"/>
      <c r="B349" s="611"/>
      <c r="C349" s="611"/>
      <c r="D349" s="611"/>
      <c r="E349" s="611"/>
      <c r="F349" s="611"/>
      <c r="G349" s="611"/>
      <c r="H349" s="611"/>
      <c r="I349" s="611"/>
      <c r="J349" s="612"/>
    </row>
    <row r="350" spans="1:10" ht="12.75" customHeight="1" x14ac:dyDescent="0.2">
      <c r="A350" s="610"/>
      <c r="B350" s="611"/>
      <c r="C350" s="611"/>
      <c r="D350" s="611"/>
      <c r="E350" s="611"/>
      <c r="F350" s="611"/>
      <c r="G350" s="611"/>
      <c r="H350" s="611"/>
      <c r="I350" s="611"/>
      <c r="J350" s="612"/>
    </row>
    <row r="351" spans="1:10" ht="12.75" customHeight="1" x14ac:dyDescent="0.2">
      <c r="A351" s="610"/>
      <c r="B351" s="611"/>
      <c r="C351" s="611"/>
      <c r="D351" s="611"/>
      <c r="E351" s="611"/>
      <c r="F351" s="611"/>
      <c r="G351" s="611"/>
      <c r="H351" s="611"/>
      <c r="I351" s="611"/>
      <c r="J351" s="612"/>
    </row>
    <row r="352" spans="1:10" ht="12.75" customHeight="1" x14ac:dyDescent="0.2">
      <c r="A352" s="610"/>
      <c r="B352" s="611"/>
      <c r="C352" s="611"/>
      <c r="D352" s="611"/>
      <c r="E352" s="611"/>
      <c r="F352" s="611"/>
      <c r="G352" s="611"/>
      <c r="H352" s="611"/>
      <c r="I352" s="611"/>
      <c r="J352" s="612"/>
    </row>
    <row r="353" spans="1:10" ht="12.75" customHeight="1" x14ac:dyDescent="0.2">
      <c r="A353" s="610"/>
      <c r="B353" s="611"/>
      <c r="C353" s="611"/>
      <c r="D353" s="611"/>
      <c r="E353" s="611"/>
      <c r="F353" s="611"/>
      <c r="G353" s="611"/>
      <c r="H353" s="611"/>
      <c r="I353" s="611"/>
      <c r="J353" s="612"/>
    </row>
    <row r="354" spans="1:10" ht="12.75" customHeight="1" x14ac:dyDescent="0.2">
      <c r="A354" s="610"/>
      <c r="B354" s="611"/>
      <c r="C354" s="611"/>
      <c r="D354" s="611"/>
      <c r="E354" s="611"/>
      <c r="F354" s="611"/>
      <c r="G354" s="611"/>
      <c r="H354" s="611"/>
      <c r="I354" s="611"/>
      <c r="J354" s="612"/>
    </row>
    <row r="355" spans="1:10" ht="12.75" customHeight="1" x14ac:dyDescent="0.2">
      <c r="A355" s="610"/>
      <c r="B355" s="611"/>
      <c r="C355" s="611"/>
      <c r="D355" s="611"/>
      <c r="E355" s="611"/>
      <c r="F355" s="611"/>
      <c r="G355" s="611"/>
      <c r="H355" s="611"/>
      <c r="I355" s="611"/>
      <c r="J355" s="612"/>
    </row>
    <row r="356" spans="1:10" ht="12.75" customHeight="1" x14ac:dyDescent="0.2">
      <c r="A356" s="610"/>
      <c r="B356" s="611"/>
      <c r="C356" s="611"/>
      <c r="D356" s="611"/>
      <c r="E356" s="611"/>
      <c r="F356" s="611"/>
      <c r="G356" s="611"/>
      <c r="H356" s="611"/>
      <c r="I356" s="611"/>
      <c r="J356" s="612"/>
    </row>
    <row r="357" spans="1:10" ht="12.75" customHeight="1" x14ac:dyDescent="0.2">
      <c r="A357" s="610"/>
      <c r="B357" s="611"/>
      <c r="C357" s="611"/>
      <c r="D357" s="611"/>
      <c r="E357" s="611"/>
      <c r="F357" s="611"/>
      <c r="G357" s="611"/>
      <c r="H357" s="611"/>
      <c r="I357" s="611"/>
      <c r="J357" s="612"/>
    </row>
    <row r="358" spans="1:10" ht="12.75" customHeight="1" x14ac:dyDescent="0.2">
      <c r="A358" s="610"/>
      <c r="B358" s="611"/>
      <c r="C358" s="611"/>
      <c r="D358" s="611"/>
      <c r="E358" s="611"/>
      <c r="F358" s="611"/>
      <c r="G358" s="611"/>
      <c r="H358" s="611"/>
      <c r="I358" s="611"/>
      <c r="J358" s="612"/>
    </row>
    <row r="359" spans="1:10" ht="12.75" customHeight="1" x14ac:dyDescent="0.2">
      <c r="A359" s="610"/>
      <c r="B359" s="611"/>
      <c r="C359" s="611"/>
      <c r="D359" s="611"/>
      <c r="E359" s="611"/>
      <c r="F359" s="611"/>
      <c r="G359" s="611"/>
      <c r="H359" s="611"/>
      <c r="I359" s="611"/>
      <c r="J359" s="612"/>
    </row>
    <row r="360" spans="1:10" ht="12.75" customHeight="1" x14ac:dyDescent="0.2">
      <c r="A360" s="610"/>
      <c r="B360" s="611"/>
      <c r="C360" s="611"/>
      <c r="D360" s="611"/>
      <c r="E360" s="611"/>
      <c r="F360" s="611"/>
      <c r="G360" s="611"/>
      <c r="H360" s="611"/>
      <c r="I360" s="611"/>
      <c r="J360" s="612"/>
    </row>
    <row r="361" spans="1:10" ht="12.75" customHeight="1" x14ac:dyDescent="0.2">
      <c r="A361" s="610"/>
      <c r="B361" s="611"/>
      <c r="C361" s="611"/>
      <c r="D361" s="611"/>
      <c r="E361" s="611"/>
      <c r="F361" s="611"/>
      <c r="G361" s="611"/>
      <c r="H361" s="611"/>
      <c r="I361" s="611"/>
      <c r="J361" s="612"/>
    </row>
    <row r="362" spans="1:10" ht="12.75" customHeight="1" x14ac:dyDescent="0.2">
      <c r="A362" s="610"/>
      <c r="B362" s="611"/>
      <c r="C362" s="611"/>
      <c r="D362" s="611"/>
      <c r="E362" s="611"/>
      <c r="F362" s="611"/>
      <c r="G362" s="611"/>
      <c r="H362" s="611"/>
      <c r="I362" s="611"/>
      <c r="J362" s="612"/>
    </row>
    <row r="363" spans="1:10" ht="12.75" customHeight="1" x14ac:dyDescent="0.2">
      <c r="A363" s="610"/>
      <c r="B363" s="611"/>
      <c r="C363" s="611"/>
      <c r="D363" s="611"/>
      <c r="E363" s="611"/>
      <c r="F363" s="611"/>
      <c r="G363" s="611"/>
      <c r="H363" s="611"/>
      <c r="I363" s="611"/>
      <c r="J363" s="612"/>
    </row>
    <row r="364" spans="1:10" ht="12.75" customHeight="1" x14ac:dyDescent="0.2">
      <c r="A364" s="610"/>
      <c r="B364" s="611"/>
      <c r="C364" s="611"/>
      <c r="D364" s="611"/>
      <c r="E364" s="611"/>
      <c r="F364" s="611"/>
      <c r="G364" s="611"/>
      <c r="H364" s="611"/>
      <c r="I364" s="611"/>
      <c r="J364" s="612"/>
    </row>
    <row r="365" spans="1:10" ht="12.75" customHeight="1" x14ac:dyDescent="0.2">
      <c r="A365" s="610"/>
      <c r="B365" s="611"/>
      <c r="C365" s="611"/>
      <c r="D365" s="611"/>
      <c r="E365" s="611"/>
      <c r="F365" s="611"/>
      <c r="G365" s="611"/>
      <c r="H365" s="611"/>
      <c r="I365" s="611"/>
      <c r="J365" s="612"/>
    </row>
    <row r="366" spans="1:10" ht="12.75" customHeight="1" x14ac:dyDescent="0.2">
      <c r="A366" s="610"/>
      <c r="B366" s="611"/>
      <c r="C366" s="611"/>
      <c r="D366" s="611"/>
      <c r="E366" s="611"/>
      <c r="F366" s="611"/>
      <c r="G366" s="611"/>
      <c r="H366" s="611"/>
      <c r="I366" s="611"/>
      <c r="J366" s="612"/>
    </row>
    <row r="367" spans="1:10" ht="12.75" customHeight="1" x14ac:dyDescent="0.2">
      <c r="A367" s="610"/>
      <c r="B367" s="611"/>
      <c r="C367" s="611"/>
      <c r="D367" s="611"/>
      <c r="E367" s="611"/>
      <c r="F367" s="611"/>
      <c r="G367" s="611"/>
      <c r="H367" s="611"/>
      <c r="I367" s="611"/>
      <c r="J367" s="612"/>
    </row>
    <row r="368" spans="1:10" ht="12.75" customHeight="1" x14ac:dyDescent="0.2">
      <c r="A368" s="610"/>
      <c r="B368" s="611"/>
      <c r="C368" s="611"/>
      <c r="D368" s="611"/>
      <c r="E368" s="611"/>
      <c r="F368" s="611"/>
      <c r="G368" s="611"/>
      <c r="H368" s="611"/>
      <c r="I368" s="611"/>
      <c r="J368" s="612"/>
    </row>
    <row r="369" spans="1:10" ht="12.75" customHeight="1" x14ac:dyDescent="0.2">
      <c r="A369" s="610"/>
      <c r="B369" s="611"/>
      <c r="C369" s="611"/>
      <c r="D369" s="611"/>
      <c r="E369" s="611"/>
      <c r="F369" s="611"/>
      <c r="G369" s="611"/>
      <c r="H369" s="611"/>
      <c r="I369" s="611"/>
      <c r="J369" s="612"/>
    </row>
    <row r="370" spans="1:10" ht="12.75" customHeight="1" x14ac:dyDescent="0.2">
      <c r="A370" s="610"/>
      <c r="B370" s="611"/>
      <c r="C370" s="611"/>
      <c r="D370" s="611"/>
      <c r="E370" s="611"/>
      <c r="F370" s="611"/>
      <c r="G370" s="611"/>
      <c r="H370" s="611"/>
      <c r="I370" s="611"/>
      <c r="J370" s="612"/>
    </row>
    <row r="371" spans="1:10" ht="12.75" customHeight="1" x14ac:dyDescent="0.2">
      <c r="A371" s="610"/>
      <c r="B371" s="611"/>
      <c r="C371" s="611"/>
      <c r="D371" s="611"/>
      <c r="E371" s="611"/>
      <c r="F371" s="611"/>
      <c r="G371" s="611"/>
      <c r="H371" s="611"/>
      <c r="I371" s="611"/>
      <c r="J371" s="612"/>
    </row>
    <row r="372" spans="1:10" ht="12.75" customHeight="1" x14ac:dyDescent="0.2">
      <c r="A372" s="610"/>
      <c r="B372" s="611"/>
      <c r="C372" s="611"/>
      <c r="D372" s="611"/>
      <c r="E372" s="611"/>
      <c r="F372" s="611"/>
      <c r="G372" s="611"/>
      <c r="H372" s="611"/>
      <c r="I372" s="611"/>
      <c r="J372" s="612"/>
    </row>
    <row r="373" spans="1:10" ht="12.75" customHeight="1" x14ac:dyDescent="0.2">
      <c r="A373" s="610"/>
      <c r="B373" s="611"/>
      <c r="C373" s="611"/>
      <c r="D373" s="611"/>
      <c r="E373" s="611"/>
      <c r="F373" s="611"/>
      <c r="G373" s="611"/>
      <c r="H373" s="611"/>
      <c r="I373" s="611"/>
      <c r="J373" s="612"/>
    </row>
    <row r="374" spans="1:10" ht="12.75" customHeight="1" x14ac:dyDescent="0.2">
      <c r="A374" s="610"/>
      <c r="B374" s="611"/>
      <c r="C374" s="611"/>
      <c r="D374" s="611"/>
      <c r="E374" s="611"/>
      <c r="F374" s="611"/>
      <c r="G374" s="611"/>
      <c r="H374" s="611"/>
      <c r="I374" s="611"/>
      <c r="J374" s="612"/>
    </row>
    <row r="375" spans="1:10" ht="12.75" customHeight="1" x14ac:dyDescent="0.2">
      <c r="A375" s="610"/>
      <c r="B375" s="611"/>
      <c r="C375" s="611"/>
      <c r="D375" s="611"/>
      <c r="E375" s="611"/>
      <c r="F375" s="611"/>
      <c r="G375" s="611"/>
      <c r="H375" s="611"/>
      <c r="I375" s="611"/>
      <c r="J375" s="612"/>
    </row>
    <row r="376" spans="1:10" ht="12.75" customHeight="1" x14ac:dyDescent="0.2">
      <c r="A376" s="610"/>
      <c r="B376" s="611"/>
      <c r="C376" s="611"/>
      <c r="D376" s="611"/>
      <c r="E376" s="611"/>
      <c r="F376" s="611"/>
      <c r="G376" s="611"/>
      <c r="H376" s="611"/>
      <c r="I376" s="611"/>
      <c r="J376" s="612"/>
    </row>
    <row r="377" spans="1:10" ht="12.75" customHeight="1" x14ac:dyDescent="0.2">
      <c r="A377" s="610"/>
      <c r="B377" s="611"/>
      <c r="C377" s="611"/>
      <c r="D377" s="611"/>
      <c r="E377" s="611"/>
      <c r="F377" s="611"/>
      <c r="G377" s="611"/>
      <c r="H377" s="611"/>
      <c r="I377" s="611"/>
      <c r="J377" s="612"/>
    </row>
    <row r="378" spans="1:10" ht="12.75" customHeight="1" x14ac:dyDescent="0.2">
      <c r="A378" s="610"/>
      <c r="B378" s="611"/>
      <c r="C378" s="611"/>
      <c r="D378" s="611"/>
      <c r="E378" s="611"/>
      <c r="F378" s="611"/>
      <c r="G378" s="611"/>
      <c r="H378" s="611"/>
      <c r="I378" s="611"/>
      <c r="J378" s="612"/>
    </row>
    <row r="379" spans="1:10" s="61" customFormat="1" x14ac:dyDescent="0.2">
      <c r="A379" s="55"/>
      <c r="B379" s="56"/>
      <c r="C379" s="57"/>
      <c r="D379" s="58"/>
      <c r="E379" s="58"/>
      <c r="F379" s="58"/>
      <c r="G379" s="58"/>
      <c r="H379" s="59"/>
      <c r="I379" s="57"/>
      <c r="J379" s="60"/>
    </row>
    <row r="380" spans="1:10" s="61" customFormat="1" ht="25.5" customHeight="1" x14ac:dyDescent="0.2">
      <c r="A380" s="619" t="s">
        <v>195</v>
      </c>
      <c r="B380" s="620"/>
      <c r="C380" s="620"/>
      <c r="D380" s="620"/>
      <c r="E380" s="620"/>
      <c r="F380" s="621"/>
      <c r="G380" s="622"/>
      <c r="H380" s="622"/>
      <c r="I380" s="622"/>
      <c r="J380" s="623"/>
    </row>
    <row r="381" spans="1:10" s="61" customFormat="1" ht="12.75" customHeight="1" x14ac:dyDescent="0.2">
      <c r="A381" s="348" t="s">
        <v>510</v>
      </c>
      <c r="B381" s="349"/>
      <c r="C381" s="349"/>
      <c r="D381" s="349"/>
      <c r="E381" s="349"/>
      <c r="F381" s="614"/>
      <c r="G381" s="614"/>
      <c r="H381" s="614"/>
      <c r="I381" s="614"/>
      <c r="J381" s="615"/>
    </row>
    <row r="382" spans="1:10" ht="12.75" customHeight="1" x14ac:dyDescent="0.2">
      <c r="A382" s="593" t="s">
        <v>367</v>
      </c>
      <c r="B382" s="594"/>
      <c r="C382" s="594"/>
      <c r="D382" s="594"/>
      <c r="E382" s="594"/>
      <c r="F382" s="594"/>
      <c r="G382" s="594"/>
      <c r="H382" s="594"/>
      <c r="I382" s="594"/>
      <c r="J382" s="595"/>
    </row>
    <row r="383" spans="1:10" ht="12.75" customHeight="1" x14ac:dyDescent="0.2">
      <c r="A383" s="596"/>
      <c r="B383" s="597"/>
      <c r="C383" s="597"/>
      <c r="D383" s="597"/>
      <c r="E383" s="597"/>
      <c r="F383" s="597"/>
      <c r="G383" s="597"/>
      <c r="H383" s="597"/>
      <c r="I383" s="597"/>
      <c r="J383" s="598"/>
    </row>
    <row r="384" spans="1:10" ht="12.75" customHeight="1" x14ac:dyDescent="0.2">
      <c r="A384" s="596"/>
      <c r="B384" s="597"/>
      <c r="C384" s="597"/>
      <c r="D384" s="597"/>
      <c r="E384" s="597"/>
      <c r="F384" s="597"/>
      <c r="G384" s="597"/>
      <c r="H384" s="597"/>
      <c r="I384" s="597"/>
      <c r="J384" s="598"/>
    </row>
    <row r="385" spans="1:10" ht="15" customHeight="1" x14ac:dyDescent="0.2">
      <c r="A385" s="599"/>
      <c r="B385" s="600"/>
      <c r="C385" s="600"/>
      <c r="D385" s="600"/>
      <c r="E385" s="600"/>
      <c r="F385" s="600"/>
      <c r="G385" s="600"/>
      <c r="H385" s="600"/>
      <c r="I385" s="600"/>
      <c r="J385" s="601"/>
    </row>
    <row r="386" spans="1:10" ht="12.75" customHeight="1" x14ac:dyDescent="0.2">
      <c r="A386" s="610"/>
      <c r="B386" s="611"/>
      <c r="C386" s="611"/>
      <c r="D386" s="611"/>
      <c r="E386" s="611"/>
      <c r="F386" s="611"/>
      <c r="G386" s="611"/>
      <c r="H386" s="611"/>
      <c r="I386" s="611"/>
      <c r="J386" s="612"/>
    </row>
    <row r="387" spans="1:10" ht="12.75" customHeight="1" x14ac:dyDescent="0.2">
      <c r="A387" s="610"/>
      <c r="B387" s="611"/>
      <c r="C387" s="611"/>
      <c r="D387" s="611"/>
      <c r="E387" s="611"/>
      <c r="F387" s="611"/>
      <c r="G387" s="611"/>
      <c r="H387" s="611"/>
      <c r="I387" s="611"/>
      <c r="J387" s="612"/>
    </row>
    <row r="388" spans="1:10" ht="12.75" customHeight="1" x14ac:dyDescent="0.2">
      <c r="A388" s="610"/>
      <c r="B388" s="611"/>
      <c r="C388" s="611"/>
      <c r="D388" s="611"/>
      <c r="E388" s="611"/>
      <c r="F388" s="611"/>
      <c r="G388" s="611"/>
      <c r="H388" s="611"/>
      <c r="I388" s="611"/>
      <c r="J388" s="612"/>
    </row>
    <row r="389" spans="1:10" ht="12.75" customHeight="1" x14ac:dyDescent="0.2">
      <c r="A389" s="610"/>
      <c r="B389" s="611"/>
      <c r="C389" s="611"/>
      <c r="D389" s="611"/>
      <c r="E389" s="611"/>
      <c r="F389" s="611"/>
      <c r="G389" s="611"/>
      <c r="H389" s="611"/>
      <c r="I389" s="611"/>
      <c r="J389" s="612"/>
    </row>
    <row r="390" spans="1:10" ht="12.75" customHeight="1" x14ac:dyDescent="0.2">
      <c r="A390" s="610"/>
      <c r="B390" s="611"/>
      <c r="C390" s="611"/>
      <c r="D390" s="611"/>
      <c r="E390" s="611"/>
      <c r="F390" s="611"/>
      <c r="G390" s="611"/>
      <c r="H390" s="611"/>
      <c r="I390" s="611"/>
      <c r="J390" s="612"/>
    </row>
    <row r="391" spans="1:10" ht="12.75" customHeight="1" x14ac:dyDescent="0.2">
      <c r="A391" s="610"/>
      <c r="B391" s="611"/>
      <c r="C391" s="611"/>
      <c r="D391" s="611"/>
      <c r="E391" s="611"/>
      <c r="F391" s="611"/>
      <c r="G391" s="611"/>
      <c r="H391" s="611"/>
      <c r="I391" s="611"/>
      <c r="J391" s="612"/>
    </row>
    <row r="392" spans="1:10" ht="12.75" customHeight="1" x14ac:dyDescent="0.2">
      <c r="A392" s="610"/>
      <c r="B392" s="611"/>
      <c r="C392" s="611"/>
      <c r="D392" s="611"/>
      <c r="E392" s="611"/>
      <c r="F392" s="611"/>
      <c r="G392" s="611"/>
      <c r="H392" s="611"/>
      <c r="I392" s="611"/>
      <c r="J392" s="612"/>
    </row>
    <row r="393" spans="1:10" ht="12.75" customHeight="1" x14ac:dyDescent="0.2">
      <c r="A393" s="610"/>
      <c r="B393" s="611"/>
      <c r="C393" s="611"/>
      <c r="D393" s="611"/>
      <c r="E393" s="611"/>
      <c r="F393" s="611"/>
      <c r="G393" s="611"/>
      <c r="H393" s="611"/>
      <c r="I393" s="611"/>
      <c r="J393" s="612"/>
    </row>
    <row r="394" spans="1:10" ht="12.75" customHeight="1" x14ac:dyDescent="0.2">
      <c r="A394" s="610"/>
      <c r="B394" s="611"/>
      <c r="C394" s="611"/>
      <c r="D394" s="611"/>
      <c r="E394" s="611"/>
      <c r="F394" s="611"/>
      <c r="G394" s="611"/>
      <c r="H394" s="611"/>
      <c r="I394" s="611"/>
      <c r="J394" s="612"/>
    </row>
    <row r="395" spans="1:10" ht="12.75" customHeight="1" x14ac:dyDescent="0.2">
      <c r="A395" s="610"/>
      <c r="B395" s="611"/>
      <c r="C395" s="611"/>
      <c r="D395" s="611"/>
      <c r="E395" s="611"/>
      <c r="F395" s="611"/>
      <c r="G395" s="611"/>
      <c r="H395" s="611"/>
      <c r="I395" s="611"/>
      <c r="J395" s="612"/>
    </row>
    <row r="396" spans="1:10" ht="12.75" customHeight="1" x14ac:dyDescent="0.2">
      <c r="A396" s="610"/>
      <c r="B396" s="611"/>
      <c r="C396" s="611"/>
      <c r="D396" s="611"/>
      <c r="E396" s="611"/>
      <c r="F396" s="611"/>
      <c r="G396" s="611"/>
      <c r="H396" s="611"/>
      <c r="I396" s="611"/>
      <c r="J396" s="612"/>
    </row>
    <row r="397" spans="1:10" ht="12.75" customHeight="1" x14ac:dyDescent="0.2">
      <c r="A397" s="610"/>
      <c r="B397" s="611"/>
      <c r="C397" s="611"/>
      <c r="D397" s="611"/>
      <c r="E397" s="611"/>
      <c r="F397" s="611"/>
      <c r="G397" s="611"/>
      <c r="H397" s="611"/>
      <c r="I397" s="611"/>
      <c r="J397" s="612"/>
    </row>
    <row r="398" spans="1:10" ht="12.75" customHeight="1" x14ac:dyDescent="0.2">
      <c r="A398" s="610"/>
      <c r="B398" s="611"/>
      <c r="C398" s="611"/>
      <c r="D398" s="611"/>
      <c r="E398" s="611"/>
      <c r="F398" s="611"/>
      <c r="G398" s="611"/>
      <c r="H398" s="611"/>
      <c r="I398" s="611"/>
      <c r="J398" s="612"/>
    </row>
    <row r="399" spans="1:10" ht="12.75" customHeight="1" x14ac:dyDescent="0.2">
      <c r="A399" s="610"/>
      <c r="B399" s="611"/>
      <c r="C399" s="611"/>
      <c r="D399" s="611"/>
      <c r="E399" s="611"/>
      <c r="F399" s="611"/>
      <c r="G399" s="611"/>
      <c r="H399" s="611"/>
      <c r="I399" s="611"/>
      <c r="J399" s="612"/>
    </row>
    <row r="400" spans="1:10" ht="12.75" customHeight="1" x14ac:dyDescent="0.2">
      <c r="A400" s="610"/>
      <c r="B400" s="611"/>
      <c r="C400" s="611"/>
      <c r="D400" s="611"/>
      <c r="E400" s="611"/>
      <c r="F400" s="611"/>
      <c r="G400" s="611"/>
      <c r="H400" s="611"/>
      <c r="I400" s="611"/>
      <c r="J400" s="612"/>
    </row>
    <row r="401" spans="1:10" ht="12.75" customHeight="1" x14ac:dyDescent="0.2">
      <c r="A401" s="610"/>
      <c r="B401" s="611"/>
      <c r="C401" s="611"/>
      <c r="D401" s="611"/>
      <c r="E401" s="611"/>
      <c r="F401" s="611"/>
      <c r="G401" s="611"/>
      <c r="H401" s="611"/>
      <c r="I401" s="611"/>
      <c r="J401" s="612"/>
    </row>
    <row r="402" spans="1:10" ht="12.75" customHeight="1" x14ac:dyDescent="0.2">
      <c r="A402" s="610"/>
      <c r="B402" s="611"/>
      <c r="C402" s="611"/>
      <c r="D402" s="611"/>
      <c r="E402" s="611"/>
      <c r="F402" s="611"/>
      <c r="G402" s="611"/>
      <c r="H402" s="611"/>
      <c r="I402" s="611"/>
      <c r="J402" s="612"/>
    </row>
    <row r="403" spans="1:10" ht="12.75" customHeight="1" x14ac:dyDescent="0.2">
      <c r="A403" s="610"/>
      <c r="B403" s="611"/>
      <c r="C403" s="611"/>
      <c r="D403" s="611"/>
      <c r="E403" s="611"/>
      <c r="F403" s="611"/>
      <c r="G403" s="611"/>
      <c r="H403" s="611"/>
      <c r="I403" s="611"/>
      <c r="J403" s="612"/>
    </row>
    <row r="404" spans="1:10" ht="12.75" customHeight="1" x14ac:dyDescent="0.2">
      <c r="A404" s="610"/>
      <c r="B404" s="611"/>
      <c r="C404" s="611"/>
      <c r="D404" s="611"/>
      <c r="E404" s="611"/>
      <c r="F404" s="611"/>
      <c r="G404" s="611"/>
      <c r="H404" s="611"/>
      <c r="I404" s="611"/>
      <c r="J404" s="612"/>
    </row>
    <row r="405" spans="1:10" ht="12.75" customHeight="1" x14ac:dyDescent="0.2">
      <c r="A405" s="610"/>
      <c r="B405" s="611"/>
      <c r="C405" s="611"/>
      <c r="D405" s="611"/>
      <c r="E405" s="611"/>
      <c r="F405" s="611"/>
      <c r="G405" s="611"/>
      <c r="H405" s="611"/>
      <c r="I405" s="611"/>
      <c r="J405" s="612"/>
    </row>
    <row r="406" spans="1:10" ht="12.75" customHeight="1" x14ac:dyDescent="0.2">
      <c r="A406" s="610"/>
      <c r="B406" s="611"/>
      <c r="C406" s="611"/>
      <c r="D406" s="611"/>
      <c r="E406" s="611"/>
      <c r="F406" s="611"/>
      <c r="G406" s="611"/>
      <c r="H406" s="611"/>
      <c r="I406" s="611"/>
      <c r="J406" s="612"/>
    </row>
    <row r="407" spans="1:10" ht="12.75" customHeight="1" x14ac:dyDescent="0.2">
      <c r="A407" s="610"/>
      <c r="B407" s="611"/>
      <c r="C407" s="611"/>
      <c r="D407" s="611"/>
      <c r="E407" s="611"/>
      <c r="F407" s="611"/>
      <c r="G407" s="611"/>
      <c r="H407" s="611"/>
      <c r="I407" s="611"/>
      <c r="J407" s="612"/>
    </row>
    <row r="408" spans="1:10" ht="12.75" customHeight="1" x14ac:dyDescent="0.2">
      <c r="A408" s="610"/>
      <c r="B408" s="611"/>
      <c r="C408" s="611"/>
      <c r="D408" s="611"/>
      <c r="E408" s="611"/>
      <c r="F408" s="611"/>
      <c r="G408" s="611"/>
      <c r="H408" s="611"/>
      <c r="I408" s="611"/>
      <c r="J408" s="612"/>
    </row>
    <row r="409" spans="1:10" ht="12.75" customHeight="1" x14ac:dyDescent="0.2">
      <c r="A409" s="610"/>
      <c r="B409" s="611"/>
      <c r="C409" s="611"/>
      <c r="D409" s="611"/>
      <c r="E409" s="611"/>
      <c r="F409" s="611"/>
      <c r="G409" s="611"/>
      <c r="H409" s="611"/>
      <c r="I409" s="611"/>
      <c r="J409" s="612"/>
    </row>
    <row r="410" spans="1:10" ht="12.75" customHeight="1" x14ac:dyDescent="0.2">
      <c r="A410" s="610"/>
      <c r="B410" s="611"/>
      <c r="C410" s="611"/>
      <c r="D410" s="611"/>
      <c r="E410" s="611"/>
      <c r="F410" s="611"/>
      <c r="G410" s="611"/>
      <c r="H410" s="611"/>
      <c r="I410" s="611"/>
      <c r="J410" s="612"/>
    </row>
    <row r="411" spans="1:10" ht="12.75" customHeight="1" x14ac:dyDescent="0.2">
      <c r="A411" s="610"/>
      <c r="B411" s="611"/>
      <c r="C411" s="611"/>
      <c r="D411" s="611"/>
      <c r="E411" s="611"/>
      <c r="F411" s="611"/>
      <c r="G411" s="611"/>
      <c r="H411" s="611"/>
      <c r="I411" s="611"/>
      <c r="J411" s="612"/>
    </row>
    <row r="412" spans="1:10" ht="12.75" customHeight="1" x14ac:dyDescent="0.2">
      <c r="A412" s="610"/>
      <c r="B412" s="611"/>
      <c r="C412" s="611"/>
      <c r="D412" s="611"/>
      <c r="E412" s="611"/>
      <c r="F412" s="611"/>
      <c r="G412" s="611"/>
      <c r="H412" s="611"/>
      <c r="I412" s="611"/>
      <c r="J412" s="612"/>
    </row>
    <row r="413" spans="1:10" ht="12.75" customHeight="1" x14ac:dyDescent="0.2">
      <c r="A413" s="610"/>
      <c r="B413" s="611"/>
      <c r="C413" s="611"/>
      <c r="D413" s="611"/>
      <c r="E413" s="611"/>
      <c r="F413" s="611"/>
      <c r="G413" s="611"/>
      <c r="H413" s="611"/>
      <c r="I413" s="611"/>
      <c r="J413" s="612"/>
    </row>
    <row r="414" spans="1:10" ht="12.75" customHeight="1" x14ac:dyDescent="0.2">
      <c r="A414" s="610"/>
      <c r="B414" s="611"/>
      <c r="C414" s="611"/>
      <c r="D414" s="611"/>
      <c r="E414" s="611"/>
      <c r="F414" s="611"/>
      <c r="G414" s="611"/>
      <c r="H414" s="611"/>
      <c r="I414" s="611"/>
      <c r="J414" s="612"/>
    </row>
    <row r="415" spans="1:10" ht="12.75" customHeight="1" x14ac:dyDescent="0.2">
      <c r="A415" s="610"/>
      <c r="B415" s="611"/>
      <c r="C415" s="611"/>
      <c r="D415" s="611"/>
      <c r="E415" s="611"/>
      <c r="F415" s="611"/>
      <c r="G415" s="611"/>
      <c r="H415" s="611"/>
      <c r="I415" s="611"/>
      <c r="J415" s="612"/>
    </row>
    <row r="416" spans="1:10" ht="12.75" customHeight="1" x14ac:dyDescent="0.2">
      <c r="A416" s="610"/>
      <c r="B416" s="611"/>
      <c r="C416" s="611"/>
      <c r="D416" s="611"/>
      <c r="E416" s="611"/>
      <c r="F416" s="611"/>
      <c r="G416" s="611"/>
      <c r="H416" s="611"/>
      <c r="I416" s="611"/>
      <c r="J416" s="612"/>
    </row>
    <row r="417" spans="1:10" ht="12.75" customHeight="1" x14ac:dyDescent="0.2">
      <c r="A417" s="610"/>
      <c r="B417" s="611"/>
      <c r="C417" s="611"/>
      <c r="D417" s="611"/>
      <c r="E417" s="611"/>
      <c r="F417" s="611"/>
      <c r="G417" s="611"/>
      <c r="H417" s="611"/>
      <c r="I417" s="611"/>
      <c r="J417" s="612"/>
    </row>
    <row r="418" spans="1:10" ht="12.75" customHeight="1" x14ac:dyDescent="0.2">
      <c r="A418" s="610"/>
      <c r="B418" s="611"/>
      <c r="C418" s="611"/>
      <c r="D418" s="611"/>
      <c r="E418" s="611"/>
      <c r="F418" s="611"/>
      <c r="G418" s="611"/>
      <c r="H418" s="611"/>
      <c r="I418" s="611"/>
      <c r="J418" s="612"/>
    </row>
    <row r="419" spans="1:10" ht="12.75" customHeight="1" x14ac:dyDescent="0.2">
      <c r="A419" s="610"/>
      <c r="B419" s="611"/>
      <c r="C419" s="611"/>
      <c r="D419" s="611"/>
      <c r="E419" s="611"/>
      <c r="F419" s="611"/>
      <c r="G419" s="611"/>
      <c r="H419" s="611"/>
      <c r="I419" s="611"/>
      <c r="J419" s="612"/>
    </row>
    <row r="420" spans="1:10" ht="12.75" customHeight="1" thickBot="1" x14ac:dyDescent="0.25">
      <c r="A420" s="616"/>
      <c r="B420" s="617"/>
      <c r="C420" s="617"/>
      <c r="D420" s="617"/>
      <c r="E420" s="617"/>
      <c r="F420" s="617"/>
      <c r="G420" s="617"/>
      <c r="H420" s="617"/>
      <c r="I420" s="617"/>
      <c r="J420" s="618"/>
    </row>
    <row r="421" spans="1:10" ht="12.75" customHeight="1" thickTop="1" x14ac:dyDescent="0.2"/>
  </sheetData>
  <sheetProtection password="E686" sheet="1" formatRows="0"/>
  <mergeCells count="64">
    <mergeCell ref="A1:J2"/>
    <mergeCell ref="A3:J5"/>
    <mergeCell ref="A6:J11"/>
    <mergeCell ref="A13:J16"/>
    <mergeCell ref="A20:E20"/>
    <mergeCell ref="F20:J20"/>
    <mergeCell ref="A21:E21"/>
    <mergeCell ref="F21:J21"/>
    <mergeCell ref="A22:J25"/>
    <mergeCell ref="A26:J42"/>
    <mergeCell ref="A44:E44"/>
    <mergeCell ref="F44:J44"/>
    <mergeCell ref="A45:E45"/>
    <mergeCell ref="F45:J45"/>
    <mergeCell ref="A46:J49"/>
    <mergeCell ref="A50:J84"/>
    <mergeCell ref="A86:E86"/>
    <mergeCell ref="F86:J86"/>
    <mergeCell ref="A87:E87"/>
    <mergeCell ref="F87:J87"/>
    <mergeCell ref="A88:J91"/>
    <mergeCell ref="A92:J126"/>
    <mergeCell ref="A128:E128"/>
    <mergeCell ref="F128:J128"/>
    <mergeCell ref="A129:E129"/>
    <mergeCell ref="F129:J129"/>
    <mergeCell ref="A130:J133"/>
    <mergeCell ref="A134:J168"/>
    <mergeCell ref="A170:E170"/>
    <mergeCell ref="F170:J170"/>
    <mergeCell ref="A171:E171"/>
    <mergeCell ref="F171:J171"/>
    <mergeCell ref="A172:J175"/>
    <mergeCell ref="A176:J210"/>
    <mergeCell ref="A212:E212"/>
    <mergeCell ref="F212:J212"/>
    <mergeCell ref="A213:E213"/>
    <mergeCell ref="F213:J213"/>
    <mergeCell ref="A214:J217"/>
    <mergeCell ref="A218:J252"/>
    <mergeCell ref="A254:E254"/>
    <mergeCell ref="F254:J254"/>
    <mergeCell ref="A255:E255"/>
    <mergeCell ref="F255:J255"/>
    <mergeCell ref="A256:J259"/>
    <mergeCell ref="A260:J294"/>
    <mergeCell ref="A296:E296"/>
    <mergeCell ref="F296:J296"/>
    <mergeCell ref="A297:E297"/>
    <mergeCell ref="F297:J297"/>
    <mergeCell ref="A298:J301"/>
    <mergeCell ref="A302:J336"/>
    <mergeCell ref="A338:E338"/>
    <mergeCell ref="F338:J338"/>
    <mergeCell ref="A381:E381"/>
    <mergeCell ref="F381:J381"/>
    <mergeCell ref="A382:J385"/>
    <mergeCell ref="A386:J420"/>
    <mergeCell ref="A339:E339"/>
    <mergeCell ref="F339:J339"/>
    <mergeCell ref="A340:J343"/>
    <mergeCell ref="A344:J378"/>
    <mergeCell ref="A380:E380"/>
    <mergeCell ref="F380:J380"/>
  </mergeCells>
  <dataValidations disablePrompts="1" count="3">
    <dataValidation type="list" allowBlank="1" showInputMessage="1" showErrorMessage="1" sqref="E50:E84 E26:E42 E92:E126 E134:E168 E176:E210 E218:E252 E260:E294 E302:E336 E344:E378 E386:E420">
      <formula1>program</formula1>
    </dataValidation>
    <dataValidation allowBlank="1" showInputMessage="1" showErrorMessage="1" promptTitle="Total Amount" prompt="Input the total amount of these funds being used to fund this individual's salary and benefits." sqref="F50:F84 F26:F42 F92:F126 F134:F168 F176:F210 F218:F252 F260:F294 F302:F336 F344:F378 F386:F420"/>
    <dataValidation type="textLength" operator="lessThan" allowBlank="1" showInputMessage="1" showErrorMessage="1" errorTitle="Too Much Text" error="Provide a brief description using no more than 100 characters here.  A more full description should be included within the narrative (tab 9)." sqref="G50:J84 G26:J42 G92:J126 G134:J168 G176:J210 G218:J252 G260:J294 G302:J336 G344:J378 G386:J420">
      <formula1>101</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47"/>
  <sheetViews>
    <sheetView topLeftCell="A4" zoomScale="90" zoomScaleNormal="90" workbookViewId="0">
      <selection activeCell="C17" sqref="C17"/>
    </sheetView>
  </sheetViews>
  <sheetFormatPr defaultColWidth="9.140625" defaultRowHeight="12.75" x14ac:dyDescent="0.2"/>
  <cols>
    <col min="1" max="9" width="15.7109375" style="1" customWidth="1"/>
    <col min="10" max="10" width="20.5703125" style="1" customWidth="1"/>
    <col min="11" max="12" width="9.140625" style="1" hidden="1" customWidth="1"/>
    <col min="13" max="13" width="9.140625" style="1" customWidth="1"/>
    <col min="14" max="16384" width="9.140625" style="1"/>
  </cols>
  <sheetData>
    <row r="1" spans="1:12" ht="13.5" thickTop="1" x14ac:dyDescent="0.2">
      <c r="A1" s="624" t="s">
        <v>375</v>
      </c>
      <c r="B1" s="625"/>
      <c r="C1" s="625"/>
      <c r="D1" s="625"/>
      <c r="E1" s="625"/>
      <c r="F1" s="625"/>
      <c r="G1" s="625"/>
      <c r="H1" s="625"/>
      <c r="I1" s="625"/>
      <c r="J1" s="626"/>
    </row>
    <row r="2" spans="1:12" x14ac:dyDescent="0.2">
      <c r="A2" s="627"/>
      <c r="B2" s="628"/>
      <c r="C2" s="628"/>
      <c r="D2" s="628"/>
      <c r="E2" s="628"/>
      <c r="F2" s="628"/>
      <c r="G2" s="628"/>
      <c r="H2" s="628"/>
      <c r="I2" s="628"/>
      <c r="J2" s="629"/>
    </row>
    <row r="3" spans="1:12" x14ac:dyDescent="0.2">
      <c r="A3" s="543" t="s">
        <v>373</v>
      </c>
      <c r="B3" s="544"/>
      <c r="C3" s="544"/>
      <c r="D3" s="544"/>
      <c r="E3" s="544"/>
      <c r="F3" s="544"/>
      <c r="G3" s="544"/>
      <c r="H3" s="544"/>
      <c r="I3" s="544"/>
      <c r="J3" s="545"/>
    </row>
    <row r="4" spans="1:12" x14ac:dyDescent="0.2">
      <c r="A4" s="546"/>
      <c r="B4" s="547"/>
      <c r="C4" s="547"/>
      <c r="D4" s="547"/>
      <c r="E4" s="547"/>
      <c r="F4" s="547"/>
      <c r="G4" s="547"/>
      <c r="H4" s="547"/>
      <c r="I4" s="547"/>
      <c r="J4" s="548"/>
    </row>
    <row r="5" spans="1:12" ht="18" customHeight="1" x14ac:dyDescent="0.2">
      <c r="A5" s="675" t="s">
        <v>40</v>
      </c>
      <c r="B5" s="676"/>
      <c r="C5" s="676"/>
      <c r="D5" s="676"/>
      <c r="E5" s="676"/>
      <c r="F5" s="676"/>
      <c r="G5" s="676"/>
      <c r="H5" s="676"/>
      <c r="I5" s="676"/>
      <c r="J5" s="677"/>
    </row>
    <row r="6" spans="1:12" ht="18" customHeight="1" x14ac:dyDescent="0.2">
      <c r="A6" s="675"/>
      <c r="B6" s="676"/>
      <c r="C6" s="676"/>
      <c r="D6" s="676"/>
      <c r="E6" s="676"/>
      <c r="F6" s="676"/>
      <c r="G6" s="676"/>
      <c r="H6" s="676"/>
      <c r="I6" s="676"/>
      <c r="J6" s="677"/>
    </row>
    <row r="7" spans="1:12" ht="15" customHeight="1" x14ac:dyDescent="0.2">
      <c r="A7" s="653" t="s">
        <v>41</v>
      </c>
      <c r="B7" s="655"/>
      <c r="C7" s="662" t="s">
        <v>42</v>
      </c>
      <c r="D7" s="662" t="s">
        <v>43</v>
      </c>
      <c r="E7" s="678" t="s">
        <v>102</v>
      </c>
      <c r="F7" s="665" t="s">
        <v>103</v>
      </c>
      <c r="G7" s="666" t="s">
        <v>48</v>
      </c>
      <c r="H7" s="654"/>
      <c r="I7" s="654"/>
      <c r="J7" s="667"/>
    </row>
    <row r="8" spans="1:12" ht="15" customHeight="1" x14ac:dyDescent="0.2">
      <c r="A8" s="656"/>
      <c r="B8" s="658"/>
      <c r="C8" s="663"/>
      <c r="D8" s="663"/>
      <c r="E8" s="679"/>
      <c r="F8" s="665"/>
      <c r="G8" s="668"/>
      <c r="H8" s="657"/>
      <c r="I8" s="657"/>
      <c r="J8" s="669"/>
    </row>
    <row r="9" spans="1:12" ht="15" customHeight="1" x14ac:dyDescent="0.2">
      <c r="A9" s="656"/>
      <c r="B9" s="658"/>
      <c r="C9" s="663"/>
      <c r="D9" s="663"/>
      <c r="E9" s="679"/>
      <c r="F9" s="665"/>
      <c r="G9" s="668"/>
      <c r="H9" s="657"/>
      <c r="I9" s="657"/>
      <c r="J9" s="669"/>
    </row>
    <row r="10" spans="1:12" ht="14.25" customHeight="1" x14ac:dyDescent="0.2">
      <c r="A10" s="659"/>
      <c r="B10" s="661"/>
      <c r="C10" s="664"/>
      <c r="D10" s="664"/>
      <c r="E10" s="680"/>
      <c r="F10" s="665"/>
      <c r="G10" s="670"/>
      <c r="H10" s="660"/>
      <c r="I10" s="660"/>
      <c r="J10" s="671"/>
    </row>
    <row r="11" spans="1:12" ht="15" customHeight="1" x14ac:dyDescent="0.2">
      <c r="A11" s="633" t="s">
        <v>620</v>
      </c>
      <c r="B11" s="637"/>
      <c r="C11" s="27" t="s">
        <v>623</v>
      </c>
      <c r="D11" s="27" t="s">
        <v>50</v>
      </c>
      <c r="E11" s="28">
        <v>0.94</v>
      </c>
      <c r="F11" s="29">
        <v>69440.12</v>
      </c>
      <c r="G11" s="633" t="s">
        <v>655</v>
      </c>
      <c r="H11" s="634"/>
      <c r="I11" s="634"/>
      <c r="J11" s="635"/>
      <c r="K11" s="1">
        <f>COUNTBLANK(C11:J11)</f>
        <v>3</v>
      </c>
      <c r="L11" s="1" t="str">
        <f t="shared" ref="L11:L42" si="0">IF(AND(A11&lt;&gt;"",K11&gt;3),"No","Yes")</f>
        <v>Yes</v>
      </c>
    </row>
    <row r="12" spans="1:12" ht="15" customHeight="1" x14ac:dyDescent="0.2">
      <c r="A12" s="633" t="s">
        <v>621</v>
      </c>
      <c r="B12" s="637"/>
      <c r="C12" s="27" t="s">
        <v>643</v>
      </c>
      <c r="D12" s="27" t="s">
        <v>50</v>
      </c>
      <c r="E12" s="28">
        <v>0.9</v>
      </c>
      <c r="F12" s="29">
        <v>65462.36</v>
      </c>
      <c r="G12" s="633" t="s">
        <v>656</v>
      </c>
      <c r="H12" s="634"/>
      <c r="I12" s="634"/>
      <c r="J12" s="635"/>
      <c r="K12" s="1">
        <f t="shared" ref="K12:K70" si="1">COUNTBLANK(C12:J12)</f>
        <v>3</v>
      </c>
      <c r="L12" s="1" t="str">
        <f t="shared" si="0"/>
        <v>Yes</v>
      </c>
    </row>
    <row r="13" spans="1:12" ht="15" customHeight="1" x14ac:dyDescent="0.2">
      <c r="A13" s="633" t="s">
        <v>615</v>
      </c>
      <c r="B13" s="637"/>
      <c r="C13" s="27" t="s">
        <v>647</v>
      </c>
      <c r="D13" s="27" t="s">
        <v>50</v>
      </c>
      <c r="E13" s="28">
        <v>0.92</v>
      </c>
      <c r="F13" s="29">
        <v>75909.52</v>
      </c>
      <c r="G13" s="633" t="s">
        <v>657</v>
      </c>
      <c r="H13" s="634"/>
      <c r="I13" s="634"/>
      <c r="J13" s="635"/>
      <c r="K13" s="1">
        <f t="shared" si="1"/>
        <v>3</v>
      </c>
      <c r="L13" s="1" t="str">
        <f t="shared" si="0"/>
        <v>Yes</v>
      </c>
    </row>
    <row r="14" spans="1:12" ht="15" customHeight="1" x14ac:dyDescent="0.2">
      <c r="A14" s="633" t="s">
        <v>616</v>
      </c>
      <c r="B14" s="637"/>
      <c r="C14" s="27" t="s">
        <v>648</v>
      </c>
      <c r="D14" s="27" t="s">
        <v>50</v>
      </c>
      <c r="E14" s="28">
        <v>1</v>
      </c>
      <c r="F14" s="29">
        <v>71569.8</v>
      </c>
      <c r="G14" s="633" t="s">
        <v>653</v>
      </c>
      <c r="H14" s="634"/>
      <c r="I14" s="634"/>
      <c r="J14" s="635"/>
      <c r="K14" s="1">
        <f t="shared" si="1"/>
        <v>3</v>
      </c>
      <c r="L14" s="1" t="str">
        <f t="shared" si="0"/>
        <v>Yes</v>
      </c>
    </row>
    <row r="15" spans="1:12" ht="15" customHeight="1" x14ac:dyDescent="0.2">
      <c r="A15" s="633" t="s">
        <v>649</v>
      </c>
      <c r="B15" s="637"/>
      <c r="C15" s="27" t="s">
        <v>618</v>
      </c>
      <c r="D15" s="27" t="s">
        <v>51</v>
      </c>
      <c r="E15" s="28">
        <v>1</v>
      </c>
      <c r="F15" s="29">
        <v>46157.93</v>
      </c>
      <c r="G15" s="633" t="s">
        <v>659</v>
      </c>
      <c r="H15" s="634"/>
      <c r="I15" s="634"/>
      <c r="J15" s="635"/>
      <c r="K15" s="1">
        <f t="shared" si="1"/>
        <v>3</v>
      </c>
      <c r="L15" s="1" t="str">
        <f t="shared" si="0"/>
        <v>Yes</v>
      </c>
    </row>
    <row r="16" spans="1:12" ht="15" customHeight="1" x14ac:dyDescent="0.2">
      <c r="A16" s="633" t="s">
        <v>617</v>
      </c>
      <c r="B16" s="637"/>
      <c r="C16" s="27" t="s">
        <v>654</v>
      </c>
      <c r="D16" s="27" t="s">
        <v>50</v>
      </c>
      <c r="E16" s="28">
        <v>1</v>
      </c>
      <c r="F16" s="29">
        <v>45045.72</v>
      </c>
      <c r="G16" s="633" t="s">
        <v>658</v>
      </c>
      <c r="H16" s="634"/>
      <c r="I16" s="634"/>
      <c r="J16" s="635"/>
      <c r="K16" s="1">
        <f t="shared" si="1"/>
        <v>3</v>
      </c>
      <c r="L16" s="1" t="str">
        <f t="shared" si="0"/>
        <v>Yes</v>
      </c>
    </row>
    <row r="17" spans="1:12" ht="15" customHeight="1" x14ac:dyDescent="0.2">
      <c r="A17" s="633" t="s">
        <v>619</v>
      </c>
      <c r="B17" s="637"/>
      <c r="C17" s="27" t="s">
        <v>622</v>
      </c>
      <c r="D17" s="27" t="s">
        <v>50</v>
      </c>
      <c r="E17" s="28">
        <v>0.94</v>
      </c>
      <c r="F17" s="29">
        <v>90566.49</v>
      </c>
      <c r="G17" s="633" t="s">
        <v>660</v>
      </c>
      <c r="H17" s="634"/>
      <c r="I17" s="634"/>
      <c r="J17" s="635"/>
      <c r="K17" s="1">
        <f t="shared" si="1"/>
        <v>3</v>
      </c>
      <c r="L17" s="1" t="str">
        <f t="shared" si="0"/>
        <v>Yes</v>
      </c>
    </row>
    <row r="18" spans="1:12" ht="15" customHeight="1" x14ac:dyDescent="0.2">
      <c r="A18" s="633"/>
      <c r="B18" s="637"/>
      <c r="C18" s="27"/>
      <c r="D18" s="27"/>
      <c r="E18" s="28"/>
      <c r="F18" s="29"/>
      <c r="G18" s="633" t="s">
        <v>651</v>
      </c>
      <c r="H18" s="634"/>
      <c r="I18" s="634"/>
      <c r="J18" s="635"/>
      <c r="K18" s="1">
        <f t="shared" si="1"/>
        <v>7</v>
      </c>
      <c r="L18" s="1" t="str">
        <f t="shared" si="0"/>
        <v>Yes</v>
      </c>
    </row>
    <row r="19" spans="1:12" ht="15" customHeight="1" x14ac:dyDescent="0.2">
      <c r="A19" s="170"/>
      <c r="B19" s="70"/>
      <c r="C19" s="27"/>
      <c r="D19" s="27"/>
      <c r="E19" s="28"/>
      <c r="F19" s="29"/>
      <c r="G19" s="633" t="s">
        <v>652</v>
      </c>
      <c r="H19" s="634"/>
      <c r="I19" s="634"/>
      <c r="J19" s="635"/>
      <c r="K19" s="1">
        <f t="shared" si="1"/>
        <v>7</v>
      </c>
      <c r="L19" s="1" t="str">
        <f t="shared" si="0"/>
        <v>Yes</v>
      </c>
    </row>
    <row r="20" spans="1:12" ht="15" customHeight="1" x14ac:dyDescent="0.2">
      <c r="A20" s="170"/>
      <c r="B20" s="70"/>
      <c r="C20" s="27"/>
      <c r="D20" s="27"/>
      <c r="E20" s="28"/>
      <c r="F20" s="29"/>
      <c r="G20" s="633"/>
      <c r="H20" s="634"/>
      <c r="I20" s="634"/>
      <c r="J20" s="635"/>
      <c r="K20" s="1">
        <f t="shared" si="1"/>
        <v>8</v>
      </c>
      <c r="L20" s="1" t="str">
        <f t="shared" si="0"/>
        <v>Yes</v>
      </c>
    </row>
    <row r="21" spans="1:12" ht="15" customHeight="1" x14ac:dyDescent="0.2">
      <c r="A21" s="170"/>
      <c r="B21" s="70"/>
      <c r="C21" s="27"/>
      <c r="D21" s="27"/>
      <c r="E21" s="28"/>
      <c r="F21" s="29"/>
      <c r="G21" s="633"/>
      <c r="H21" s="634"/>
      <c r="I21" s="634"/>
      <c r="J21" s="635"/>
      <c r="K21" s="1">
        <f t="shared" si="1"/>
        <v>8</v>
      </c>
      <c r="L21" s="1" t="str">
        <f t="shared" si="0"/>
        <v>Yes</v>
      </c>
    </row>
    <row r="22" spans="1:12" ht="15" customHeight="1" x14ac:dyDescent="0.2">
      <c r="A22" s="170"/>
      <c r="B22" s="70"/>
      <c r="C22" s="27"/>
      <c r="D22" s="27"/>
      <c r="E22" s="28"/>
      <c r="F22" s="29"/>
      <c r="G22" s="633"/>
      <c r="H22" s="634"/>
      <c r="I22" s="634"/>
      <c r="J22" s="635"/>
      <c r="K22" s="1">
        <f t="shared" si="1"/>
        <v>8</v>
      </c>
      <c r="L22" s="1" t="str">
        <f t="shared" si="0"/>
        <v>Yes</v>
      </c>
    </row>
    <row r="23" spans="1:12" ht="15" customHeight="1" x14ac:dyDescent="0.2">
      <c r="A23" s="170"/>
      <c r="B23" s="70"/>
      <c r="C23" s="27"/>
      <c r="D23" s="27"/>
      <c r="E23" s="28"/>
      <c r="F23" s="29"/>
      <c r="G23" s="633"/>
      <c r="H23" s="634"/>
      <c r="I23" s="634"/>
      <c r="J23" s="635"/>
      <c r="K23" s="1">
        <f t="shared" si="1"/>
        <v>8</v>
      </c>
      <c r="L23" s="1" t="str">
        <f t="shared" si="0"/>
        <v>Yes</v>
      </c>
    </row>
    <row r="24" spans="1:12" ht="15" customHeight="1" x14ac:dyDescent="0.2">
      <c r="A24" s="170"/>
      <c r="B24" s="70"/>
      <c r="C24" s="27"/>
      <c r="D24" s="27"/>
      <c r="E24" s="28"/>
      <c r="F24" s="29"/>
      <c r="G24" s="633"/>
      <c r="H24" s="634"/>
      <c r="I24" s="634"/>
      <c r="J24" s="635"/>
      <c r="K24" s="1">
        <f t="shared" si="1"/>
        <v>8</v>
      </c>
      <c r="L24" s="1" t="str">
        <f t="shared" si="0"/>
        <v>Yes</v>
      </c>
    </row>
    <row r="25" spans="1:12" ht="15" customHeight="1" x14ac:dyDescent="0.2">
      <c r="A25" s="170"/>
      <c r="B25" s="70"/>
      <c r="C25" s="27"/>
      <c r="D25" s="27"/>
      <c r="E25" s="28"/>
      <c r="F25" s="29"/>
      <c r="G25" s="633"/>
      <c r="H25" s="634"/>
      <c r="I25" s="634"/>
      <c r="J25" s="635"/>
      <c r="K25" s="1">
        <f t="shared" si="1"/>
        <v>8</v>
      </c>
      <c r="L25" s="1" t="str">
        <f t="shared" si="0"/>
        <v>Yes</v>
      </c>
    </row>
    <row r="26" spans="1:12" ht="15" customHeight="1" x14ac:dyDescent="0.2">
      <c r="A26" s="170"/>
      <c r="B26" s="70"/>
      <c r="C26" s="27"/>
      <c r="D26" s="27"/>
      <c r="E26" s="28"/>
      <c r="F26" s="29"/>
      <c r="G26" s="633"/>
      <c r="H26" s="634"/>
      <c r="I26" s="634"/>
      <c r="J26" s="635"/>
      <c r="K26" s="1">
        <f t="shared" si="1"/>
        <v>8</v>
      </c>
      <c r="L26" s="1" t="str">
        <f t="shared" si="0"/>
        <v>Yes</v>
      </c>
    </row>
    <row r="27" spans="1:12" ht="15" customHeight="1" x14ac:dyDescent="0.2">
      <c r="A27" s="636"/>
      <c r="B27" s="637"/>
      <c r="C27" s="27"/>
      <c r="D27" s="27"/>
      <c r="E27" s="28"/>
      <c r="F27" s="29"/>
      <c r="G27" s="633"/>
      <c r="H27" s="634"/>
      <c r="I27" s="634"/>
      <c r="J27" s="635"/>
      <c r="K27" s="1">
        <f t="shared" si="1"/>
        <v>8</v>
      </c>
      <c r="L27" s="1" t="str">
        <f t="shared" si="0"/>
        <v>Yes</v>
      </c>
    </row>
    <row r="28" spans="1:12" ht="15" customHeight="1" x14ac:dyDescent="0.2">
      <c r="A28" s="636"/>
      <c r="B28" s="637"/>
      <c r="C28" s="27"/>
      <c r="D28" s="27"/>
      <c r="E28" s="28"/>
      <c r="F28" s="29"/>
      <c r="G28" s="633"/>
      <c r="H28" s="634"/>
      <c r="I28" s="634"/>
      <c r="J28" s="635"/>
      <c r="K28" s="1">
        <f t="shared" si="1"/>
        <v>8</v>
      </c>
      <c r="L28" s="1" t="str">
        <f t="shared" si="0"/>
        <v>Yes</v>
      </c>
    </row>
    <row r="29" spans="1:12" ht="15" customHeight="1" x14ac:dyDescent="0.2">
      <c r="A29" s="636"/>
      <c r="B29" s="637"/>
      <c r="C29" s="27"/>
      <c r="D29" s="27"/>
      <c r="E29" s="28"/>
      <c r="F29" s="29"/>
      <c r="G29" s="633"/>
      <c r="H29" s="634"/>
      <c r="I29" s="634"/>
      <c r="J29" s="635"/>
      <c r="K29" s="1">
        <f t="shared" si="1"/>
        <v>8</v>
      </c>
      <c r="L29" s="1" t="str">
        <f t="shared" si="0"/>
        <v>Yes</v>
      </c>
    </row>
    <row r="30" spans="1:12" ht="15" customHeight="1" x14ac:dyDescent="0.2">
      <c r="A30" s="636"/>
      <c r="B30" s="637"/>
      <c r="C30" s="27"/>
      <c r="D30" s="27"/>
      <c r="E30" s="28"/>
      <c r="F30" s="29"/>
      <c r="G30" s="633"/>
      <c r="H30" s="634"/>
      <c r="I30" s="634"/>
      <c r="J30" s="635"/>
      <c r="K30" s="1">
        <f t="shared" si="1"/>
        <v>8</v>
      </c>
      <c r="L30" s="1" t="str">
        <f t="shared" si="0"/>
        <v>Yes</v>
      </c>
    </row>
    <row r="31" spans="1:12" ht="15" customHeight="1" x14ac:dyDescent="0.2">
      <c r="A31" s="636"/>
      <c r="B31" s="637"/>
      <c r="C31" s="27"/>
      <c r="D31" s="27"/>
      <c r="E31" s="28"/>
      <c r="F31" s="29"/>
      <c r="G31" s="633"/>
      <c r="H31" s="634"/>
      <c r="I31" s="634"/>
      <c r="J31" s="635"/>
      <c r="K31" s="1">
        <f t="shared" si="1"/>
        <v>8</v>
      </c>
      <c r="L31" s="1" t="str">
        <f t="shared" si="0"/>
        <v>Yes</v>
      </c>
    </row>
    <row r="32" spans="1:12" ht="15" customHeight="1" x14ac:dyDescent="0.2">
      <c r="A32" s="636"/>
      <c r="B32" s="637"/>
      <c r="C32" s="27"/>
      <c r="D32" s="27"/>
      <c r="E32" s="28"/>
      <c r="F32" s="29"/>
      <c r="G32" s="633"/>
      <c r="H32" s="634"/>
      <c r="I32" s="634"/>
      <c r="J32" s="635"/>
      <c r="K32" s="1">
        <f t="shared" si="1"/>
        <v>8</v>
      </c>
      <c r="L32" s="1" t="str">
        <f t="shared" si="0"/>
        <v>Yes</v>
      </c>
    </row>
    <row r="33" spans="1:12" ht="15" customHeight="1" x14ac:dyDescent="0.2">
      <c r="A33" s="636"/>
      <c r="B33" s="637"/>
      <c r="C33" s="27"/>
      <c r="D33" s="27"/>
      <c r="E33" s="28"/>
      <c r="F33" s="29"/>
      <c r="G33" s="633"/>
      <c r="H33" s="634"/>
      <c r="I33" s="634"/>
      <c r="J33" s="635"/>
      <c r="K33" s="1">
        <f t="shared" si="1"/>
        <v>8</v>
      </c>
      <c r="L33" s="1" t="str">
        <f t="shared" si="0"/>
        <v>Yes</v>
      </c>
    </row>
    <row r="34" spans="1:12" ht="15" customHeight="1" x14ac:dyDescent="0.2">
      <c r="A34" s="636"/>
      <c r="B34" s="637"/>
      <c r="C34" s="27"/>
      <c r="D34" s="27"/>
      <c r="E34" s="28"/>
      <c r="F34" s="29"/>
      <c r="G34" s="633"/>
      <c r="H34" s="634"/>
      <c r="I34" s="634"/>
      <c r="J34" s="635"/>
      <c r="K34" s="1">
        <f t="shared" si="1"/>
        <v>8</v>
      </c>
      <c r="L34" s="1" t="str">
        <f t="shared" si="0"/>
        <v>Yes</v>
      </c>
    </row>
    <row r="35" spans="1:12" ht="15" customHeight="1" x14ac:dyDescent="0.2">
      <c r="A35" s="636"/>
      <c r="B35" s="637"/>
      <c r="C35" s="27"/>
      <c r="D35" s="27"/>
      <c r="E35" s="28"/>
      <c r="F35" s="29"/>
      <c r="G35" s="633"/>
      <c r="H35" s="634"/>
      <c r="I35" s="634"/>
      <c r="J35" s="635"/>
      <c r="K35" s="1">
        <f t="shared" si="1"/>
        <v>8</v>
      </c>
      <c r="L35" s="1" t="str">
        <f t="shared" si="0"/>
        <v>Yes</v>
      </c>
    </row>
    <row r="36" spans="1:12" ht="15" customHeight="1" x14ac:dyDescent="0.2">
      <c r="A36" s="170"/>
      <c r="B36" s="70"/>
      <c r="C36" s="27"/>
      <c r="D36" s="27"/>
      <c r="E36" s="28"/>
      <c r="F36" s="29"/>
      <c r="G36" s="69"/>
      <c r="H36" s="71"/>
      <c r="I36" s="71"/>
      <c r="J36" s="171"/>
      <c r="K36" s="1">
        <f t="shared" si="1"/>
        <v>8</v>
      </c>
      <c r="L36" s="1" t="str">
        <f t="shared" si="0"/>
        <v>Yes</v>
      </c>
    </row>
    <row r="37" spans="1:12" ht="15" customHeight="1" x14ac:dyDescent="0.2">
      <c r="A37" s="170"/>
      <c r="B37" s="70"/>
      <c r="C37" s="27"/>
      <c r="D37" s="27"/>
      <c r="E37" s="28"/>
      <c r="F37" s="29"/>
      <c r="G37" s="69"/>
      <c r="H37" s="71"/>
      <c r="I37" s="71"/>
      <c r="J37" s="171"/>
      <c r="K37" s="1">
        <f t="shared" si="1"/>
        <v>8</v>
      </c>
      <c r="L37" s="1" t="str">
        <f t="shared" si="0"/>
        <v>Yes</v>
      </c>
    </row>
    <row r="38" spans="1:12" ht="15" customHeight="1" x14ac:dyDescent="0.2">
      <c r="A38" s="170"/>
      <c r="B38" s="70"/>
      <c r="C38" s="27"/>
      <c r="D38" s="27"/>
      <c r="E38" s="28"/>
      <c r="F38" s="29"/>
      <c r="G38" s="69"/>
      <c r="H38" s="71"/>
      <c r="I38" s="71"/>
      <c r="J38" s="171"/>
      <c r="K38" s="1">
        <f t="shared" si="1"/>
        <v>8</v>
      </c>
      <c r="L38" s="1" t="str">
        <f t="shared" si="0"/>
        <v>Yes</v>
      </c>
    </row>
    <row r="39" spans="1:12" ht="15" customHeight="1" x14ac:dyDescent="0.2">
      <c r="A39" s="170"/>
      <c r="B39" s="70"/>
      <c r="C39" s="27"/>
      <c r="D39" s="27"/>
      <c r="E39" s="28"/>
      <c r="F39" s="29"/>
      <c r="G39" s="69"/>
      <c r="H39" s="71"/>
      <c r="I39" s="71"/>
      <c r="J39" s="171"/>
      <c r="K39" s="1">
        <f t="shared" si="1"/>
        <v>8</v>
      </c>
      <c r="L39" s="1" t="str">
        <f t="shared" si="0"/>
        <v>Yes</v>
      </c>
    </row>
    <row r="40" spans="1:12" ht="15" customHeight="1" x14ac:dyDescent="0.2">
      <c r="A40" s="170"/>
      <c r="B40" s="70"/>
      <c r="C40" s="27"/>
      <c r="D40" s="27"/>
      <c r="E40" s="28"/>
      <c r="F40" s="29"/>
      <c r="G40" s="69"/>
      <c r="H40" s="71"/>
      <c r="I40" s="71"/>
      <c r="J40" s="171"/>
      <c r="K40" s="1">
        <f t="shared" si="1"/>
        <v>8</v>
      </c>
      <c r="L40" s="1" t="str">
        <f t="shared" si="0"/>
        <v>Yes</v>
      </c>
    </row>
    <row r="41" spans="1:12" ht="15" customHeight="1" x14ac:dyDescent="0.2">
      <c r="A41" s="170"/>
      <c r="B41" s="70"/>
      <c r="C41" s="27"/>
      <c r="D41" s="27"/>
      <c r="E41" s="28"/>
      <c r="F41" s="29"/>
      <c r="G41" s="69"/>
      <c r="H41" s="71"/>
      <c r="I41" s="71"/>
      <c r="J41" s="171"/>
      <c r="K41" s="1">
        <f t="shared" si="1"/>
        <v>8</v>
      </c>
      <c r="L41" s="1" t="str">
        <f t="shared" si="0"/>
        <v>Yes</v>
      </c>
    </row>
    <row r="42" spans="1:12" ht="15" customHeight="1" x14ac:dyDescent="0.2">
      <c r="A42" s="170"/>
      <c r="B42" s="70"/>
      <c r="C42" s="27"/>
      <c r="D42" s="27"/>
      <c r="E42" s="28"/>
      <c r="F42" s="29"/>
      <c r="G42" s="69"/>
      <c r="H42" s="71"/>
      <c r="I42" s="71"/>
      <c r="J42" s="171"/>
      <c r="K42" s="1">
        <f t="shared" si="1"/>
        <v>8</v>
      </c>
      <c r="L42" s="1" t="str">
        <f t="shared" si="0"/>
        <v>Yes</v>
      </c>
    </row>
    <row r="43" spans="1:12" ht="15" customHeight="1" x14ac:dyDescent="0.2">
      <c r="A43" s="170"/>
      <c r="B43" s="70"/>
      <c r="C43" s="27"/>
      <c r="D43" s="27"/>
      <c r="E43" s="28"/>
      <c r="F43" s="29"/>
      <c r="G43" s="69"/>
      <c r="H43" s="71"/>
      <c r="I43" s="71"/>
      <c r="J43" s="171"/>
      <c r="K43" s="1">
        <f t="shared" si="1"/>
        <v>8</v>
      </c>
      <c r="L43" s="1" t="str">
        <f t="shared" ref="L43:L70" si="2">IF(AND(A43&lt;&gt;"",K43&gt;3),"No","Yes")</f>
        <v>Yes</v>
      </c>
    </row>
    <row r="44" spans="1:12" ht="15" customHeight="1" x14ac:dyDescent="0.2">
      <c r="A44" s="170"/>
      <c r="B44" s="70"/>
      <c r="C44" s="27"/>
      <c r="D44" s="27"/>
      <c r="E44" s="28"/>
      <c r="F44" s="29"/>
      <c r="G44" s="69"/>
      <c r="H44" s="71"/>
      <c r="I44" s="71"/>
      <c r="J44" s="171"/>
      <c r="K44" s="1">
        <f t="shared" si="1"/>
        <v>8</v>
      </c>
      <c r="L44" s="1" t="str">
        <f t="shared" si="2"/>
        <v>Yes</v>
      </c>
    </row>
    <row r="45" spans="1:12" ht="15" customHeight="1" x14ac:dyDescent="0.2">
      <c r="A45" s="170"/>
      <c r="B45" s="70"/>
      <c r="C45" s="27"/>
      <c r="D45" s="27"/>
      <c r="E45" s="28"/>
      <c r="F45" s="29"/>
      <c r="G45" s="69"/>
      <c r="H45" s="71"/>
      <c r="I45" s="71"/>
      <c r="J45" s="171"/>
      <c r="K45" s="1">
        <f t="shared" si="1"/>
        <v>8</v>
      </c>
      <c r="L45" s="1" t="str">
        <f t="shared" si="2"/>
        <v>Yes</v>
      </c>
    </row>
    <row r="46" spans="1:12" ht="15" customHeight="1" x14ac:dyDescent="0.2">
      <c r="A46" s="170"/>
      <c r="B46" s="70"/>
      <c r="C46" s="27"/>
      <c r="D46" s="27"/>
      <c r="E46" s="28"/>
      <c r="F46" s="29"/>
      <c r="G46" s="69"/>
      <c r="H46" s="71"/>
      <c r="I46" s="71"/>
      <c r="J46" s="171"/>
      <c r="K46" s="1">
        <f t="shared" si="1"/>
        <v>8</v>
      </c>
      <c r="L46" s="1" t="str">
        <f t="shared" si="2"/>
        <v>Yes</v>
      </c>
    </row>
    <row r="47" spans="1:12" ht="15" customHeight="1" x14ac:dyDescent="0.2">
      <c r="A47" s="170"/>
      <c r="B47" s="70"/>
      <c r="C47" s="27"/>
      <c r="D47" s="27"/>
      <c r="E47" s="28"/>
      <c r="F47" s="29"/>
      <c r="G47" s="69"/>
      <c r="H47" s="71"/>
      <c r="I47" s="71"/>
      <c r="J47" s="171"/>
      <c r="K47" s="1">
        <f t="shared" si="1"/>
        <v>8</v>
      </c>
      <c r="L47" s="1" t="str">
        <f t="shared" si="2"/>
        <v>Yes</v>
      </c>
    </row>
    <row r="48" spans="1:12" ht="15" customHeight="1" x14ac:dyDescent="0.2">
      <c r="A48" s="636"/>
      <c r="B48" s="637"/>
      <c r="C48" s="27"/>
      <c r="D48" s="27"/>
      <c r="E48" s="28"/>
      <c r="F48" s="29"/>
      <c r="G48" s="633"/>
      <c r="H48" s="634"/>
      <c r="I48" s="634"/>
      <c r="J48" s="635"/>
      <c r="K48" s="1">
        <f t="shared" si="1"/>
        <v>8</v>
      </c>
      <c r="L48" s="1" t="str">
        <f t="shared" si="2"/>
        <v>Yes</v>
      </c>
    </row>
    <row r="49" spans="1:12" ht="15" customHeight="1" x14ac:dyDescent="0.2">
      <c r="A49" s="636"/>
      <c r="B49" s="637"/>
      <c r="C49" s="27"/>
      <c r="D49" s="27"/>
      <c r="E49" s="28"/>
      <c r="F49" s="29"/>
      <c r="G49" s="633"/>
      <c r="H49" s="634"/>
      <c r="I49" s="634"/>
      <c r="J49" s="635"/>
      <c r="K49" s="1">
        <f t="shared" si="1"/>
        <v>8</v>
      </c>
      <c r="L49" s="1" t="str">
        <f t="shared" si="2"/>
        <v>Yes</v>
      </c>
    </row>
    <row r="50" spans="1:12" ht="15" customHeight="1" x14ac:dyDescent="0.2">
      <c r="A50" s="636"/>
      <c r="B50" s="637"/>
      <c r="C50" s="27"/>
      <c r="D50" s="27"/>
      <c r="E50" s="28"/>
      <c r="F50" s="29"/>
      <c r="G50" s="633"/>
      <c r="H50" s="634"/>
      <c r="I50" s="634"/>
      <c r="J50" s="635"/>
      <c r="K50" s="1">
        <f t="shared" si="1"/>
        <v>8</v>
      </c>
      <c r="L50" s="1" t="str">
        <f t="shared" si="2"/>
        <v>Yes</v>
      </c>
    </row>
    <row r="51" spans="1:12" ht="15" customHeight="1" x14ac:dyDescent="0.2">
      <c r="A51" s="636"/>
      <c r="B51" s="637"/>
      <c r="C51" s="27"/>
      <c r="D51" s="27"/>
      <c r="E51" s="28"/>
      <c r="F51" s="29"/>
      <c r="G51" s="633"/>
      <c r="H51" s="634"/>
      <c r="I51" s="634"/>
      <c r="J51" s="635"/>
      <c r="K51" s="1">
        <f t="shared" si="1"/>
        <v>8</v>
      </c>
      <c r="L51" s="1" t="str">
        <f t="shared" si="2"/>
        <v>Yes</v>
      </c>
    </row>
    <row r="52" spans="1:12" ht="15" customHeight="1" x14ac:dyDescent="0.2">
      <c r="A52" s="636"/>
      <c r="B52" s="637"/>
      <c r="C52" s="27"/>
      <c r="D52" s="27"/>
      <c r="E52" s="28"/>
      <c r="F52" s="29"/>
      <c r="G52" s="633"/>
      <c r="H52" s="634"/>
      <c r="I52" s="634"/>
      <c r="J52" s="635"/>
      <c r="K52" s="1">
        <f t="shared" si="1"/>
        <v>8</v>
      </c>
      <c r="L52" s="1" t="str">
        <f t="shared" si="2"/>
        <v>Yes</v>
      </c>
    </row>
    <row r="53" spans="1:12" ht="15" customHeight="1" x14ac:dyDescent="0.2">
      <c r="A53" s="636"/>
      <c r="B53" s="637"/>
      <c r="C53" s="27"/>
      <c r="D53" s="27"/>
      <c r="E53" s="28"/>
      <c r="F53" s="29"/>
      <c r="G53" s="633"/>
      <c r="H53" s="634"/>
      <c r="I53" s="634"/>
      <c r="J53" s="635"/>
      <c r="K53" s="1">
        <f t="shared" si="1"/>
        <v>8</v>
      </c>
      <c r="L53" s="1" t="str">
        <f t="shared" si="2"/>
        <v>Yes</v>
      </c>
    </row>
    <row r="54" spans="1:12" ht="15" customHeight="1" x14ac:dyDescent="0.2">
      <c r="A54" s="636"/>
      <c r="B54" s="637"/>
      <c r="C54" s="27"/>
      <c r="D54" s="27"/>
      <c r="E54" s="28"/>
      <c r="F54" s="29"/>
      <c r="G54" s="633"/>
      <c r="H54" s="634"/>
      <c r="I54" s="634"/>
      <c r="J54" s="635"/>
      <c r="K54" s="1">
        <f t="shared" si="1"/>
        <v>8</v>
      </c>
      <c r="L54" s="1" t="str">
        <f t="shared" si="2"/>
        <v>Yes</v>
      </c>
    </row>
    <row r="55" spans="1:12" ht="15" customHeight="1" x14ac:dyDescent="0.2">
      <c r="A55" s="636"/>
      <c r="B55" s="637"/>
      <c r="C55" s="27"/>
      <c r="D55" s="27"/>
      <c r="E55" s="28"/>
      <c r="F55" s="29"/>
      <c r="G55" s="633"/>
      <c r="H55" s="634"/>
      <c r="I55" s="634"/>
      <c r="J55" s="635"/>
      <c r="K55" s="1">
        <f t="shared" si="1"/>
        <v>8</v>
      </c>
      <c r="L55" s="1" t="str">
        <f t="shared" si="2"/>
        <v>Yes</v>
      </c>
    </row>
    <row r="56" spans="1:12" ht="15" customHeight="1" x14ac:dyDescent="0.2">
      <c r="A56" s="636"/>
      <c r="B56" s="637"/>
      <c r="C56" s="27"/>
      <c r="D56" s="27"/>
      <c r="E56" s="28"/>
      <c r="F56" s="29"/>
      <c r="G56" s="633"/>
      <c r="H56" s="634"/>
      <c r="I56" s="634"/>
      <c r="J56" s="635"/>
      <c r="K56" s="1">
        <f t="shared" si="1"/>
        <v>8</v>
      </c>
      <c r="L56" s="1" t="str">
        <f t="shared" si="2"/>
        <v>Yes</v>
      </c>
    </row>
    <row r="57" spans="1:12" ht="15" customHeight="1" x14ac:dyDescent="0.2">
      <c r="A57" s="636"/>
      <c r="B57" s="637"/>
      <c r="C57" s="27"/>
      <c r="D57" s="27"/>
      <c r="E57" s="28"/>
      <c r="F57" s="29"/>
      <c r="G57" s="633"/>
      <c r="H57" s="634"/>
      <c r="I57" s="634"/>
      <c r="J57" s="635"/>
      <c r="K57" s="1">
        <f t="shared" si="1"/>
        <v>8</v>
      </c>
      <c r="L57" s="1" t="str">
        <f t="shared" si="2"/>
        <v>Yes</v>
      </c>
    </row>
    <row r="58" spans="1:12" ht="15" customHeight="1" x14ac:dyDescent="0.2">
      <c r="A58" s="636"/>
      <c r="B58" s="637"/>
      <c r="C58" s="27"/>
      <c r="D58" s="27"/>
      <c r="E58" s="28"/>
      <c r="F58" s="29"/>
      <c r="G58" s="633"/>
      <c r="H58" s="634"/>
      <c r="I58" s="634"/>
      <c r="J58" s="635"/>
      <c r="K58" s="1">
        <f t="shared" si="1"/>
        <v>8</v>
      </c>
      <c r="L58" s="1" t="str">
        <f t="shared" si="2"/>
        <v>Yes</v>
      </c>
    </row>
    <row r="59" spans="1:12" ht="15" customHeight="1" x14ac:dyDescent="0.2">
      <c r="A59" s="636"/>
      <c r="B59" s="637"/>
      <c r="C59" s="27"/>
      <c r="D59" s="27"/>
      <c r="E59" s="28"/>
      <c r="F59" s="29"/>
      <c r="G59" s="633"/>
      <c r="H59" s="634"/>
      <c r="I59" s="634"/>
      <c r="J59" s="635"/>
      <c r="K59" s="1">
        <f t="shared" si="1"/>
        <v>8</v>
      </c>
      <c r="L59" s="1" t="str">
        <f t="shared" si="2"/>
        <v>Yes</v>
      </c>
    </row>
    <row r="60" spans="1:12" ht="15" customHeight="1" x14ac:dyDescent="0.2">
      <c r="A60" s="636"/>
      <c r="B60" s="637"/>
      <c r="C60" s="27"/>
      <c r="D60" s="27"/>
      <c r="E60" s="28"/>
      <c r="F60" s="29"/>
      <c r="G60" s="633"/>
      <c r="H60" s="634"/>
      <c r="I60" s="634"/>
      <c r="J60" s="635"/>
      <c r="K60" s="1">
        <f t="shared" si="1"/>
        <v>8</v>
      </c>
      <c r="L60" s="1" t="str">
        <f t="shared" si="2"/>
        <v>Yes</v>
      </c>
    </row>
    <row r="61" spans="1:12" ht="15" customHeight="1" x14ac:dyDescent="0.2">
      <c r="A61" s="636"/>
      <c r="B61" s="637"/>
      <c r="C61" s="27"/>
      <c r="D61" s="27"/>
      <c r="E61" s="28"/>
      <c r="F61" s="29"/>
      <c r="G61" s="633"/>
      <c r="H61" s="634"/>
      <c r="I61" s="634"/>
      <c r="J61" s="635"/>
      <c r="K61" s="1">
        <f t="shared" si="1"/>
        <v>8</v>
      </c>
      <c r="L61" s="1" t="str">
        <f t="shared" si="2"/>
        <v>Yes</v>
      </c>
    </row>
    <row r="62" spans="1:12" ht="15" customHeight="1" x14ac:dyDescent="0.2">
      <c r="A62" s="636"/>
      <c r="B62" s="637"/>
      <c r="C62" s="27"/>
      <c r="D62" s="27"/>
      <c r="E62" s="28"/>
      <c r="F62" s="29"/>
      <c r="G62" s="633"/>
      <c r="H62" s="634"/>
      <c r="I62" s="634"/>
      <c r="J62" s="635"/>
      <c r="K62" s="1">
        <f t="shared" si="1"/>
        <v>8</v>
      </c>
      <c r="L62" s="1" t="str">
        <f t="shared" si="2"/>
        <v>Yes</v>
      </c>
    </row>
    <row r="63" spans="1:12" ht="15" customHeight="1" x14ac:dyDescent="0.2">
      <c r="A63" s="636"/>
      <c r="B63" s="637"/>
      <c r="C63" s="27"/>
      <c r="D63" s="27"/>
      <c r="E63" s="28"/>
      <c r="F63" s="29"/>
      <c r="G63" s="633"/>
      <c r="H63" s="634"/>
      <c r="I63" s="634"/>
      <c r="J63" s="635"/>
      <c r="K63" s="1">
        <f t="shared" si="1"/>
        <v>8</v>
      </c>
      <c r="L63" s="1" t="str">
        <f t="shared" si="2"/>
        <v>Yes</v>
      </c>
    </row>
    <row r="64" spans="1:12" ht="15" customHeight="1" x14ac:dyDescent="0.2">
      <c r="A64" s="636"/>
      <c r="B64" s="637"/>
      <c r="C64" s="27"/>
      <c r="D64" s="27"/>
      <c r="E64" s="28"/>
      <c r="F64" s="29"/>
      <c r="G64" s="633"/>
      <c r="H64" s="634"/>
      <c r="I64" s="634"/>
      <c r="J64" s="635"/>
      <c r="K64" s="1">
        <f t="shared" si="1"/>
        <v>8</v>
      </c>
      <c r="L64" s="1" t="str">
        <f t="shared" si="2"/>
        <v>Yes</v>
      </c>
    </row>
    <row r="65" spans="1:12" ht="15" customHeight="1" x14ac:dyDescent="0.2">
      <c r="A65" s="636"/>
      <c r="B65" s="637"/>
      <c r="C65" s="27"/>
      <c r="D65" s="27"/>
      <c r="E65" s="28"/>
      <c r="F65" s="29"/>
      <c r="G65" s="633"/>
      <c r="H65" s="634"/>
      <c r="I65" s="634"/>
      <c r="J65" s="635"/>
      <c r="K65" s="1">
        <f t="shared" si="1"/>
        <v>8</v>
      </c>
      <c r="L65" s="1" t="str">
        <f t="shared" si="2"/>
        <v>Yes</v>
      </c>
    </row>
    <row r="66" spans="1:12" ht="15" customHeight="1" x14ac:dyDescent="0.2">
      <c r="A66" s="636"/>
      <c r="B66" s="637"/>
      <c r="C66" s="27"/>
      <c r="D66" s="27"/>
      <c r="E66" s="28"/>
      <c r="F66" s="29"/>
      <c r="G66" s="633"/>
      <c r="H66" s="634"/>
      <c r="I66" s="634"/>
      <c r="J66" s="635"/>
      <c r="K66" s="1">
        <f t="shared" si="1"/>
        <v>8</v>
      </c>
      <c r="L66" s="1" t="str">
        <f t="shared" si="2"/>
        <v>Yes</v>
      </c>
    </row>
    <row r="67" spans="1:12" ht="15" customHeight="1" x14ac:dyDescent="0.2">
      <c r="A67" s="636"/>
      <c r="B67" s="637"/>
      <c r="C67" s="27"/>
      <c r="D67" s="27"/>
      <c r="E67" s="28"/>
      <c r="F67" s="29"/>
      <c r="G67" s="633"/>
      <c r="H67" s="634"/>
      <c r="I67" s="634"/>
      <c r="J67" s="635"/>
      <c r="K67" s="1">
        <f t="shared" si="1"/>
        <v>8</v>
      </c>
      <c r="L67" s="1" t="str">
        <f t="shared" si="2"/>
        <v>Yes</v>
      </c>
    </row>
    <row r="68" spans="1:12" ht="15" customHeight="1" x14ac:dyDescent="0.2">
      <c r="A68" s="636"/>
      <c r="B68" s="637"/>
      <c r="C68" s="27"/>
      <c r="D68" s="27"/>
      <c r="E68" s="28"/>
      <c r="F68" s="29"/>
      <c r="G68" s="633"/>
      <c r="H68" s="634"/>
      <c r="I68" s="634"/>
      <c r="J68" s="635"/>
      <c r="K68" s="1">
        <f t="shared" si="1"/>
        <v>8</v>
      </c>
      <c r="L68" s="1" t="str">
        <f t="shared" si="2"/>
        <v>Yes</v>
      </c>
    </row>
    <row r="69" spans="1:12" ht="15" customHeight="1" x14ac:dyDescent="0.2">
      <c r="A69" s="636"/>
      <c r="B69" s="637"/>
      <c r="C69" s="27"/>
      <c r="D69" s="27"/>
      <c r="E69" s="28"/>
      <c r="F69" s="29"/>
      <c r="G69" s="633"/>
      <c r="H69" s="634"/>
      <c r="I69" s="634"/>
      <c r="J69" s="635"/>
      <c r="K69" s="1">
        <f t="shared" si="1"/>
        <v>8</v>
      </c>
      <c r="L69" s="1" t="str">
        <f t="shared" si="2"/>
        <v>Yes</v>
      </c>
    </row>
    <row r="70" spans="1:12" ht="15" customHeight="1" x14ac:dyDescent="0.2">
      <c r="A70" s="636"/>
      <c r="B70" s="637"/>
      <c r="C70" s="27"/>
      <c r="D70" s="27"/>
      <c r="E70" s="28"/>
      <c r="F70" s="29"/>
      <c r="G70" s="633"/>
      <c r="H70" s="634"/>
      <c r="I70" s="634"/>
      <c r="J70" s="635"/>
      <c r="K70" s="1">
        <f t="shared" si="1"/>
        <v>8</v>
      </c>
      <c r="L70" s="1" t="str">
        <f t="shared" si="2"/>
        <v>Yes</v>
      </c>
    </row>
    <row r="71" spans="1:12" ht="15" customHeight="1" x14ac:dyDescent="0.2">
      <c r="A71" s="681" t="s">
        <v>92</v>
      </c>
      <c r="B71" s="682"/>
      <c r="C71" s="682"/>
      <c r="D71" s="682"/>
      <c r="E71" s="32">
        <f>SUM(E11:E70)</f>
        <v>6.6999999999999993</v>
      </c>
      <c r="F71" s="683" t="s">
        <v>93</v>
      </c>
      <c r="G71" s="683"/>
      <c r="H71" s="683"/>
      <c r="I71" s="683"/>
      <c r="J71" s="172">
        <f>SUM(F11:F70)</f>
        <v>464151.93999999994</v>
      </c>
      <c r="L71" s="1">
        <f>COUNTIF(L11:L70,"Yes")</f>
        <v>60</v>
      </c>
    </row>
    <row r="72" spans="1:12" ht="15" customHeight="1" x14ac:dyDescent="0.2">
      <c r="A72" s="672"/>
      <c r="B72" s="673"/>
      <c r="C72" s="673"/>
      <c r="D72" s="673"/>
      <c r="E72" s="673"/>
      <c r="F72" s="673"/>
      <c r="G72" s="673"/>
      <c r="H72" s="673"/>
      <c r="I72" s="673"/>
      <c r="J72" s="674"/>
    </row>
    <row r="73" spans="1:12" ht="18" customHeight="1" x14ac:dyDescent="0.2">
      <c r="A73" s="650" t="s">
        <v>44</v>
      </c>
      <c r="B73" s="651"/>
      <c r="C73" s="651"/>
      <c r="D73" s="651"/>
      <c r="E73" s="651"/>
      <c r="F73" s="651"/>
      <c r="G73" s="651"/>
      <c r="H73" s="651"/>
      <c r="I73" s="651"/>
      <c r="J73" s="652"/>
    </row>
    <row r="74" spans="1:12" ht="18" customHeight="1" x14ac:dyDescent="0.2">
      <c r="A74" s="650" t="s">
        <v>481</v>
      </c>
      <c r="B74" s="651"/>
      <c r="C74" s="651"/>
      <c r="D74" s="651"/>
      <c r="E74" s="651"/>
      <c r="F74" s="651"/>
      <c r="G74" s="651"/>
      <c r="H74" s="651"/>
      <c r="I74" s="651"/>
      <c r="J74" s="652"/>
    </row>
    <row r="75" spans="1:12" ht="15" customHeight="1" x14ac:dyDescent="0.2">
      <c r="A75" s="653" t="s">
        <v>49</v>
      </c>
      <c r="B75" s="654"/>
      <c r="C75" s="654"/>
      <c r="D75" s="655"/>
      <c r="E75" s="662" t="s">
        <v>43</v>
      </c>
      <c r="F75" s="665" t="s">
        <v>104</v>
      </c>
      <c r="G75" s="666" t="s">
        <v>53</v>
      </c>
      <c r="H75" s="654"/>
      <c r="I75" s="654"/>
      <c r="J75" s="667"/>
    </row>
    <row r="76" spans="1:12" ht="15" customHeight="1" x14ac:dyDescent="0.2">
      <c r="A76" s="656"/>
      <c r="B76" s="657"/>
      <c r="C76" s="657"/>
      <c r="D76" s="658"/>
      <c r="E76" s="663"/>
      <c r="F76" s="663"/>
      <c r="G76" s="668"/>
      <c r="H76" s="657"/>
      <c r="I76" s="657"/>
      <c r="J76" s="669"/>
    </row>
    <row r="77" spans="1:12" ht="15" customHeight="1" x14ac:dyDescent="0.2">
      <c r="A77" s="656"/>
      <c r="B77" s="657"/>
      <c r="C77" s="657"/>
      <c r="D77" s="658"/>
      <c r="E77" s="663"/>
      <c r="F77" s="663"/>
      <c r="G77" s="668"/>
      <c r="H77" s="657"/>
      <c r="I77" s="657"/>
      <c r="J77" s="669"/>
    </row>
    <row r="78" spans="1:12" ht="15" customHeight="1" x14ac:dyDescent="0.2">
      <c r="A78" s="656"/>
      <c r="B78" s="657"/>
      <c r="C78" s="657"/>
      <c r="D78" s="658"/>
      <c r="E78" s="663"/>
      <c r="F78" s="663"/>
      <c r="G78" s="668"/>
      <c r="H78" s="657"/>
      <c r="I78" s="657"/>
      <c r="J78" s="669"/>
    </row>
    <row r="79" spans="1:12" ht="15" customHeight="1" x14ac:dyDescent="0.2">
      <c r="A79" s="656"/>
      <c r="B79" s="657"/>
      <c r="C79" s="657"/>
      <c r="D79" s="658"/>
      <c r="E79" s="663"/>
      <c r="F79" s="663"/>
      <c r="G79" s="668"/>
      <c r="H79" s="657"/>
      <c r="I79" s="657"/>
      <c r="J79" s="669"/>
    </row>
    <row r="80" spans="1:12" ht="14.25" customHeight="1" x14ac:dyDescent="0.2">
      <c r="A80" s="659"/>
      <c r="B80" s="660"/>
      <c r="C80" s="660"/>
      <c r="D80" s="661"/>
      <c r="E80" s="664"/>
      <c r="F80" s="664"/>
      <c r="G80" s="670"/>
      <c r="H80" s="660"/>
      <c r="I80" s="660"/>
      <c r="J80" s="671"/>
    </row>
    <row r="81" spans="1:12" ht="15" customHeight="1" x14ac:dyDescent="0.2">
      <c r="A81" s="636" t="s">
        <v>645</v>
      </c>
      <c r="B81" s="634"/>
      <c r="C81" s="634"/>
      <c r="D81" s="637"/>
      <c r="E81" s="27" t="s">
        <v>51</v>
      </c>
      <c r="F81" s="29">
        <v>1020.56</v>
      </c>
      <c r="G81" s="633" t="s">
        <v>662</v>
      </c>
      <c r="H81" s="634"/>
      <c r="I81" s="634"/>
      <c r="J81" s="635"/>
      <c r="K81" s="1">
        <f t="shared" ref="K81:K105" si="3">COUNTBLANK(E81:J81)</f>
        <v>3</v>
      </c>
      <c r="L81" s="1" t="str">
        <f>IF(AND(A81&lt;&gt;"",K81&gt;3),"No","Yes")</f>
        <v>Yes</v>
      </c>
    </row>
    <row r="82" spans="1:12" ht="15" customHeight="1" x14ac:dyDescent="0.2">
      <c r="A82" s="636"/>
      <c r="B82" s="634"/>
      <c r="C82" s="634"/>
      <c r="D82" s="637"/>
      <c r="E82" s="27"/>
      <c r="F82" s="29"/>
      <c r="G82" s="633"/>
      <c r="H82" s="634"/>
      <c r="I82" s="634"/>
      <c r="J82" s="635"/>
      <c r="K82" s="1">
        <f t="shared" si="3"/>
        <v>6</v>
      </c>
      <c r="L82" s="1" t="str">
        <f t="shared" ref="L82:L105" si="4">IF(AND(A82&lt;&gt;"",K82&gt;3),"No","Yes")</f>
        <v>Yes</v>
      </c>
    </row>
    <row r="83" spans="1:12" ht="15" customHeight="1" x14ac:dyDescent="0.2">
      <c r="A83" s="636"/>
      <c r="B83" s="634"/>
      <c r="C83" s="634"/>
      <c r="D83" s="637"/>
      <c r="E83" s="27"/>
      <c r="F83" s="29"/>
      <c r="G83" s="633"/>
      <c r="H83" s="634"/>
      <c r="I83" s="634"/>
      <c r="J83" s="635"/>
      <c r="K83" s="1">
        <f t="shared" si="3"/>
        <v>6</v>
      </c>
      <c r="L83" s="1" t="str">
        <f t="shared" si="4"/>
        <v>Yes</v>
      </c>
    </row>
    <row r="84" spans="1:12" ht="15" customHeight="1" x14ac:dyDescent="0.2">
      <c r="A84" s="636"/>
      <c r="B84" s="634"/>
      <c r="C84" s="634"/>
      <c r="D84" s="637"/>
      <c r="E84" s="27"/>
      <c r="F84" s="29"/>
      <c r="G84" s="633"/>
      <c r="H84" s="634"/>
      <c r="I84" s="634"/>
      <c r="J84" s="635"/>
      <c r="K84" s="1">
        <f t="shared" si="3"/>
        <v>6</v>
      </c>
      <c r="L84" s="1" t="str">
        <f t="shared" si="4"/>
        <v>Yes</v>
      </c>
    </row>
    <row r="85" spans="1:12" ht="15" customHeight="1" x14ac:dyDescent="0.2">
      <c r="A85" s="636"/>
      <c r="B85" s="634"/>
      <c r="C85" s="634"/>
      <c r="D85" s="637"/>
      <c r="E85" s="27"/>
      <c r="F85" s="29"/>
      <c r="G85" s="633"/>
      <c r="H85" s="634"/>
      <c r="I85" s="634"/>
      <c r="J85" s="635"/>
      <c r="K85" s="1">
        <f t="shared" si="3"/>
        <v>6</v>
      </c>
      <c r="L85" s="1" t="str">
        <f t="shared" si="4"/>
        <v>Yes</v>
      </c>
    </row>
    <row r="86" spans="1:12" ht="15" customHeight="1" x14ac:dyDescent="0.2">
      <c r="A86" s="636"/>
      <c r="B86" s="634"/>
      <c r="C86" s="634"/>
      <c r="D86" s="637"/>
      <c r="E86" s="27"/>
      <c r="F86" s="29"/>
      <c r="G86" s="633"/>
      <c r="H86" s="634"/>
      <c r="I86" s="634"/>
      <c r="J86" s="635"/>
      <c r="K86" s="1">
        <f t="shared" si="3"/>
        <v>6</v>
      </c>
      <c r="L86" s="1" t="str">
        <f t="shared" si="4"/>
        <v>Yes</v>
      </c>
    </row>
    <row r="87" spans="1:12" ht="15" customHeight="1" x14ac:dyDescent="0.2">
      <c r="A87" s="636"/>
      <c r="B87" s="634"/>
      <c r="C87" s="634"/>
      <c r="D87" s="637"/>
      <c r="E87" s="27"/>
      <c r="F87" s="29"/>
      <c r="G87" s="633"/>
      <c r="H87" s="634"/>
      <c r="I87" s="634"/>
      <c r="J87" s="635"/>
      <c r="K87" s="1">
        <f t="shared" si="3"/>
        <v>6</v>
      </c>
      <c r="L87" s="1" t="str">
        <f t="shared" si="4"/>
        <v>Yes</v>
      </c>
    </row>
    <row r="88" spans="1:12" ht="15" customHeight="1" x14ac:dyDescent="0.2">
      <c r="A88" s="636"/>
      <c r="B88" s="634"/>
      <c r="C88" s="634"/>
      <c r="D88" s="637"/>
      <c r="E88" s="27"/>
      <c r="F88" s="29"/>
      <c r="G88" s="633"/>
      <c r="H88" s="634"/>
      <c r="I88" s="634"/>
      <c r="J88" s="635"/>
      <c r="K88" s="1">
        <f t="shared" si="3"/>
        <v>6</v>
      </c>
      <c r="L88" s="1" t="str">
        <f t="shared" si="4"/>
        <v>Yes</v>
      </c>
    </row>
    <row r="89" spans="1:12" ht="15" customHeight="1" x14ac:dyDescent="0.2">
      <c r="A89" s="636"/>
      <c r="B89" s="634"/>
      <c r="C89" s="634"/>
      <c r="D89" s="637"/>
      <c r="E89" s="27"/>
      <c r="F89" s="29"/>
      <c r="G89" s="633"/>
      <c r="H89" s="634"/>
      <c r="I89" s="634"/>
      <c r="J89" s="635"/>
      <c r="K89" s="1">
        <f t="shared" si="3"/>
        <v>6</v>
      </c>
      <c r="L89" s="1" t="str">
        <f t="shared" si="4"/>
        <v>Yes</v>
      </c>
    </row>
    <row r="90" spans="1:12" ht="15" customHeight="1" x14ac:dyDescent="0.2">
      <c r="A90" s="636"/>
      <c r="B90" s="634"/>
      <c r="C90" s="634"/>
      <c r="D90" s="637"/>
      <c r="E90" s="27"/>
      <c r="F90" s="29"/>
      <c r="G90" s="633"/>
      <c r="H90" s="634"/>
      <c r="I90" s="634"/>
      <c r="J90" s="635"/>
      <c r="K90" s="1">
        <f t="shared" si="3"/>
        <v>6</v>
      </c>
      <c r="L90" s="1" t="str">
        <f t="shared" si="4"/>
        <v>Yes</v>
      </c>
    </row>
    <row r="91" spans="1:12" ht="15" customHeight="1" x14ac:dyDescent="0.2">
      <c r="A91" s="636"/>
      <c r="B91" s="634"/>
      <c r="C91" s="634"/>
      <c r="D91" s="637"/>
      <c r="E91" s="27"/>
      <c r="F91" s="29"/>
      <c r="G91" s="633"/>
      <c r="H91" s="634"/>
      <c r="I91" s="634"/>
      <c r="J91" s="635"/>
      <c r="K91" s="1">
        <f t="shared" si="3"/>
        <v>6</v>
      </c>
      <c r="L91" s="1" t="str">
        <f t="shared" si="4"/>
        <v>Yes</v>
      </c>
    </row>
    <row r="92" spans="1:12" ht="15" customHeight="1" x14ac:dyDescent="0.2">
      <c r="A92" s="636"/>
      <c r="B92" s="634"/>
      <c r="C92" s="634"/>
      <c r="D92" s="637"/>
      <c r="E92" s="27"/>
      <c r="F92" s="29"/>
      <c r="G92" s="633"/>
      <c r="H92" s="634"/>
      <c r="I92" s="634"/>
      <c r="J92" s="635"/>
      <c r="K92" s="1">
        <f t="shared" si="3"/>
        <v>6</v>
      </c>
      <c r="L92" s="1" t="str">
        <f t="shared" si="4"/>
        <v>Yes</v>
      </c>
    </row>
    <row r="93" spans="1:12" ht="15" customHeight="1" x14ac:dyDescent="0.2">
      <c r="A93" s="636"/>
      <c r="B93" s="634"/>
      <c r="C93" s="634"/>
      <c r="D93" s="637"/>
      <c r="E93" s="27"/>
      <c r="F93" s="29"/>
      <c r="G93" s="633"/>
      <c r="H93" s="634"/>
      <c r="I93" s="634"/>
      <c r="J93" s="635"/>
      <c r="K93" s="1">
        <f t="shared" si="3"/>
        <v>6</v>
      </c>
      <c r="L93" s="1" t="str">
        <f t="shared" si="4"/>
        <v>Yes</v>
      </c>
    </row>
    <row r="94" spans="1:12" ht="15" customHeight="1" x14ac:dyDescent="0.2">
      <c r="A94" s="636"/>
      <c r="B94" s="634"/>
      <c r="C94" s="634"/>
      <c r="D94" s="637"/>
      <c r="E94" s="27"/>
      <c r="F94" s="29"/>
      <c r="G94" s="633"/>
      <c r="H94" s="634"/>
      <c r="I94" s="634"/>
      <c r="J94" s="635"/>
      <c r="K94" s="1">
        <f t="shared" si="3"/>
        <v>6</v>
      </c>
      <c r="L94" s="1" t="str">
        <f t="shared" si="4"/>
        <v>Yes</v>
      </c>
    </row>
    <row r="95" spans="1:12" ht="15" customHeight="1" x14ac:dyDescent="0.2">
      <c r="A95" s="636"/>
      <c r="B95" s="634"/>
      <c r="C95" s="634"/>
      <c r="D95" s="637"/>
      <c r="E95" s="27"/>
      <c r="F95" s="29"/>
      <c r="G95" s="633"/>
      <c r="H95" s="634"/>
      <c r="I95" s="634"/>
      <c r="J95" s="635"/>
      <c r="K95" s="1">
        <f t="shared" si="3"/>
        <v>6</v>
      </c>
      <c r="L95" s="1" t="str">
        <f t="shared" si="4"/>
        <v>Yes</v>
      </c>
    </row>
    <row r="96" spans="1:12" ht="15" customHeight="1" x14ac:dyDescent="0.2">
      <c r="A96" s="636"/>
      <c r="B96" s="634"/>
      <c r="C96" s="634"/>
      <c r="D96" s="637"/>
      <c r="E96" s="27"/>
      <c r="F96" s="29"/>
      <c r="G96" s="633"/>
      <c r="H96" s="634"/>
      <c r="I96" s="634"/>
      <c r="J96" s="635"/>
      <c r="K96" s="1">
        <f t="shared" si="3"/>
        <v>6</v>
      </c>
      <c r="L96" s="1" t="str">
        <f t="shared" si="4"/>
        <v>Yes</v>
      </c>
    </row>
    <row r="97" spans="1:12" ht="15" customHeight="1" x14ac:dyDescent="0.2">
      <c r="A97" s="636"/>
      <c r="B97" s="634"/>
      <c r="C97" s="634"/>
      <c r="D97" s="637"/>
      <c r="E97" s="27"/>
      <c r="F97" s="29"/>
      <c r="G97" s="633"/>
      <c r="H97" s="634"/>
      <c r="I97" s="634"/>
      <c r="J97" s="635"/>
      <c r="K97" s="1">
        <f t="shared" si="3"/>
        <v>6</v>
      </c>
      <c r="L97" s="1" t="str">
        <f t="shared" si="4"/>
        <v>Yes</v>
      </c>
    </row>
    <row r="98" spans="1:12" ht="15" customHeight="1" x14ac:dyDescent="0.2">
      <c r="A98" s="636"/>
      <c r="B98" s="634"/>
      <c r="C98" s="634"/>
      <c r="D98" s="637"/>
      <c r="E98" s="27"/>
      <c r="F98" s="29"/>
      <c r="G98" s="633"/>
      <c r="H98" s="634"/>
      <c r="I98" s="634"/>
      <c r="J98" s="635"/>
      <c r="K98" s="1">
        <f t="shared" si="3"/>
        <v>6</v>
      </c>
      <c r="L98" s="1" t="str">
        <f t="shared" si="4"/>
        <v>Yes</v>
      </c>
    </row>
    <row r="99" spans="1:12" ht="15" customHeight="1" x14ac:dyDescent="0.2">
      <c r="A99" s="636"/>
      <c r="B99" s="634"/>
      <c r="C99" s="634"/>
      <c r="D99" s="637"/>
      <c r="E99" s="27"/>
      <c r="F99" s="29"/>
      <c r="G99" s="633"/>
      <c r="H99" s="634"/>
      <c r="I99" s="634"/>
      <c r="J99" s="635"/>
      <c r="K99" s="1">
        <f t="shared" si="3"/>
        <v>6</v>
      </c>
      <c r="L99" s="1" t="str">
        <f t="shared" si="4"/>
        <v>Yes</v>
      </c>
    </row>
    <row r="100" spans="1:12" ht="15" customHeight="1" x14ac:dyDescent="0.2">
      <c r="A100" s="636"/>
      <c r="B100" s="634"/>
      <c r="C100" s="634"/>
      <c r="D100" s="637"/>
      <c r="E100" s="27"/>
      <c r="F100" s="29"/>
      <c r="G100" s="633"/>
      <c r="H100" s="634"/>
      <c r="I100" s="634"/>
      <c r="J100" s="635"/>
      <c r="K100" s="1">
        <f t="shared" si="3"/>
        <v>6</v>
      </c>
      <c r="L100" s="1" t="str">
        <f t="shared" si="4"/>
        <v>Yes</v>
      </c>
    </row>
    <row r="101" spans="1:12" ht="15" customHeight="1" x14ac:dyDescent="0.2">
      <c r="A101" s="636"/>
      <c r="B101" s="634"/>
      <c r="C101" s="634"/>
      <c r="D101" s="637"/>
      <c r="E101" s="27"/>
      <c r="F101" s="29"/>
      <c r="G101" s="633"/>
      <c r="H101" s="634"/>
      <c r="I101" s="634"/>
      <c r="J101" s="635"/>
      <c r="K101" s="1">
        <f t="shared" si="3"/>
        <v>6</v>
      </c>
      <c r="L101" s="1" t="str">
        <f t="shared" si="4"/>
        <v>Yes</v>
      </c>
    </row>
    <row r="102" spans="1:12" ht="15" customHeight="1" x14ac:dyDescent="0.2">
      <c r="A102" s="636"/>
      <c r="B102" s="634"/>
      <c r="C102" s="634"/>
      <c r="D102" s="637"/>
      <c r="E102" s="27"/>
      <c r="F102" s="29"/>
      <c r="G102" s="633"/>
      <c r="H102" s="634"/>
      <c r="I102" s="634"/>
      <c r="J102" s="635"/>
      <c r="K102" s="1">
        <f t="shared" si="3"/>
        <v>6</v>
      </c>
      <c r="L102" s="1" t="str">
        <f t="shared" si="4"/>
        <v>Yes</v>
      </c>
    </row>
    <row r="103" spans="1:12" ht="15" customHeight="1" x14ac:dyDescent="0.2">
      <c r="A103" s="636"/>
      <c r="B103" s="634"/>
      <c r="C103" s="634"/>
      <c r="D103" s="637"/>
      <c r="E103" s="27"/>
      <c r="F103" s="29"/>
      <c r="G103" s="633"/>
      <c r="H103" s="634"/>
      <c r="I103" s="634"/>
      <c r="J103" s="635"/>
      <c r="K103" s="1">
        <f t="shared" si="3"/>
        <v>6</v>
      </c>
      <c r="L103" s="1" t="str">
        <f t="shared" si="4"/>
        <v>Yes</v>
      </c>
    </row>
    <row r="104" spans="1:12" ht="15" customHeight="1" x14ac:dyDescent="0.2">
      <c r="A104" s="636"/>
      <c r="B104" s="634"/>
      <c r="C104" s="634"/>
      <c r="D104" s="637"/>
      <c r="E104" s="27"/>
      <c r="F104" s="29"/>
      <c r="G104" s="633"/>
      <c r="H104" s="634"/>
      <c r="I104" s="634"/>
      <c r="J104" s="635"/>
      <c r="K104" s="1">
        <f t="shared" si="3"/>
        <v>6</v>
      </c>
      <c r="L104" s="1" t="str">
        <f t="shared" si="4"/>
        <v>Yes</v>
      </c>
    </row>
    <row r="105" spans="1:12" ht="15" customHeight="1" x14ac:dyDescent="0.2">
      <c r="A105" s="636"/>
      <c r="B105" s="634"/>
      <c r="C105" s="634"/>
      <c r="D105" s="637"/>
      <c r="E105" s="27"/>
      <c r="F105" s="29"/>
      <c r="G105" s="633"/>
      <c r="H105" s="634"/>
      <c r="I105" s="634"/>
      <c r="J105" s="635"/>
      <c r="K105" s="1">
        <f t="shared" si="3"/>
        <v>6</v>
      </c>
      <c r="L105" s="1" t="str">
        <f t="shared" si="4"/>
        <v>Yes</v>
      </c>
    </row>
    <row r="106" spans="1:12" ht="15" customHeight="1" x14ac:dyDescent="0.2">
      <c r="A106" s="644" t="s">
        <v>91</v>
      </c>
      <c r="B106" s="645"/>
      <c r="C106" s="645"/>
      <c r="D106" s="645"/>
      <c r="E106" s="646"/>
      <c r="F106" s="647">
        <f>SUM(F81:F105)</f>
        <v>1020.56</v>
      </c>
      <c r="G106" s="648"/>
      <c r="H106" s="648"/>
      <c r="I106" s="648"/>
      <c r="J106" s="649"/>
      <c r="L106" s="1">
        <f>COUNTIF(L81:L105,"Yes")</f>
        <v>25</v>
      </c>
    </row>
    <row r="107" spans="1:12" ht="15" customHeight="1" x14ac:dyDescent="0.2">
      <c r="A107" s="672"/>
      <c r="B107" s="673"/>
      <c r="C107" s="673"/>
      <c r="D107" s="673"/>
      <c r="E107" s="673"/>
      <c r="F107" s="673"/>
      <c r="G107" s="673"/>
      <c r="H107" s="673"/>
      <c r="I107" s="673"/>
      <c r="J107" s="674"/>
    </row>
    <row r="108" spans="1:12" ht="18" customHeight="1" x14ac:dyDescent="0.2">
      <c r="A108" s="650" t="s">
        <v>45</v>
      </c>
      <c r="B108" s="651"/>
      <c r="C108" s="651"/>
      <c r="D108" s="651"/>
      <c r="E108" s="651"/>
      <c r="F108" s="651"/>
      <c r="G108" s="651"/>
      <c r="H108" s="651"/>
      <c r="I108" s="651"/>
      <c r="J108" s="652"/>
    </row>
    <row r="109" spans="1:12" ht="18" customHeight="1" x14ac:dyDescent="0.2">
      <c r="A109" s="650" t="s">
        <v>481</v>
      </c>
      <c r="B109" s="651"/>
      <c r="C109" s="651"/>
      <c r="D109" s="651"/>
      <c r="E109" s="651"/>
      <c r="F109" s="651"/>
      <c r="G109" s="651"/>
      <c r="H109" s="651"/>
      <c r="I109" s="651"/>
      <c r="J109" s="652"/>
    </row>
    <row r="110" spans="1:12" ht="15" customHeight="1" x14ac:dyDescent="0.2">
      <c r="A110" s="653" t="s">
        <v>49</v>
      </c>
      <c r="B110" s="654"/>
      <c r="C110" s="654"/>
      <c r="D110" s="655"/>
      <c r="E110" s="662" t="s">
        <v>43</v>
      </c>
      <c r="F110" s="665" t="s">
        <v>104</v>
      </c>
      <c r="G110" s="666" t="s">
        <v>53</v>
      </c>
      <c r="H110" s="684"/>
      <c r="I110" s="684"/>
      <c r="J110" s="685"/>
    </row>
    <row r="111" spans="1:12" ht="15" customHeight="1" x14ac:dyDescent="0.2">
      <c r="A111" s="656"/>
      <c r="B111" s="657"/>
      <c r="C111" s="657"/>
      <c r="D111" s="658"/>
      <c r="E111" s="663"/>
      <c r="F111" s="663"/>
      <c r="G111" s="686"/>
      <c r="H111" s="687"/>
      <c r="I111" s="687"/>
      <c r="J111" s="688"/>
    </row>
    <row r="112" spans="1:12" ht="15" customHeight="1" x14ac:dyDescent="0.2">
      <c r="A112" s="656"/>
      <c r="B112" s="657"/>
      <c r="C112" s="657"/>
      <c r="D112" s="658"/>
      <c r="E112" s="663"/>
      <c r="F112" s="663"/>
      <c r="G112" s="686"/>
      <c r="H112" s="687"/>
      <c r="I112" s="687"/>
      <c r="J112" s="688"/>
    </row>
    <row r="113" spans="1:12" ht="15" customHeight="1" x14ac:dyDescent="0.2">
      <c r="A113" s="656"/>
      <c r="B113" s="657"/>
      <c r="C113" s="657"/>
      <c r="D113" s="658"/>
      <c r="E113" s="663"/>
      <c r="F113" s="663"/>
      <c r="G113" s="686"/>
      <c r="H113" s="687"/>
      <c r="I113" s="687"/>
      <c r="J113" s="688"/>
    </row>
    <row r="114" spans="1:12" ht="15" customHeight="1" x14ac:dyDescent="0.2">
      <c r="A114" s="656"/>
      <c r="B114" s="657"/>
      <c r="C114" s="657"/>
      <c r="D114" s="658"/>
      <c r="E114" s="663"/>
      <c r="F114" s="663"/>
      <c r="G114" s="686"/>
      <c r="H114" s="687"/>
      <c r="I114" s="687"/>
      <c r="J114" s="688"/>
    </row>
    <row r="115" spans="1:12" ht="14.25" customHeight="1" x14ac:dyDescent="0.2">
      <c r="A115" s="659"/>
      <c r="B115" s="660"/>
      <c r="C115" s="660"/>
      <c r="D115" s="661"/>
      <c r="E115" s="664"/>
      <c r="F115" s="664"/>
      <c r="G115" s="689"/>
      <c r="H115" s="690"/>
      <c r="I115" s="690"/>
      <c r="J115" s="691"/>
    </row>
    <row r="116" spans="1:12" ht="15" customHeight="1" x14ac:dyDescent="0.2">
      <c r="A116" s="636"/>
      <c r="B116" s="634"/>
      <c r="C116" s="634"/>
      <c r="D116" s="637"/>
      <c r="E116" s="27"/>
      <c r="F116" s="29"/>
      <c r="G116" s="633"/>
      <c r="H116" s="692"/>
      <c r="I116" s="692"/>
      <c r="J116" s="693"/>
      <c r="K116" s="1">
        <f t="shared" ref="K116:K140" si="5">COUNTBLANK(E116:J116)</f>
        <v>6</v>
      </c>
      <c r="L116" s="1" t="str">
        <f>IF(AND(A116&lt;&gt;"",K116&gt;3),"No","Yes")</f>
        <v>Yes</v>
      </c>
    </row>
    <row r="117" spans="1:12" ht="15" customHeight="1" x14ac:dyDescent="0.2">
      <c r="A117" s="636"/>
      <c r="B117" s="634"/>
      <c r="C117" s="634"/>
      <c r="D117" s="637"/>
      <c r="E117" s="27"/>
      <c r="F117" s="29"/>
      <c r="G117" s="633"/>
      <c r="H117" s="634"/>
      <c r="I117" s="634"/>
      <c r="J117" s="635"/>
      <c r="K117" s="1">
        <f t="shared" si="5"/>
        <v>6</v>
      </c>
      <c r="L117" s="1" t="str">
        <f t="shared" ref="L117:L140" si="6">IF(AND(A117&lt;&gt;"",K117&gt;3),"No","Yes")</f>
        <v>Yes</v>
      </c>
    </row>
    <row r="118" spans="1:12" ht="15" customHeight="1" x14ac:dyDescent="0.2">
      <c r="A118" s="636"/>
      <c r="B118" s="634"/>
      <c r="C118" s="634"/>
      <c r="D118" s="637"/>
      <c r="E118" s="27"/>
      <c r="F118" s="29"/>
      <c r="G118" s="633"/>
      <c r="H118" s="634"/>
      <c r="I118" s="634"/>
      <c r="J118" s="635"/>
      <c r="K118" s="1">
        <f t="shared" si="5"/>
        <v>6</v>
      </c>
      <c r="L118" s="1" t="str">
        <f t="shared" si="6"/>
        <v>Yes</v>
      </c>
    </row>
    <row r="119" spans="1:12" ht="15" customHeight="1" x14ac:dyDescent="0.2">
      <c r="A119" s="636"/>
      <c r="B119" s="634"/>
      <c r="C119" s="634"/>
      <c r="D119" s="637"/>
      <c r="E119" s="27"/>
      <c r="F119" s="29"/>
      <c r="G119" s="633"/>
      <c r="H119" s="634"/>
      <c r="I119" s="634"/>
      <c r="J119" s="635"/>
      <c r="K119" s="1">
        <f t="shared" si="5"/>
        <v>6</v>
      </c>
      <c r="L119" s="1" t="str">
        <f t="shared" si="6"/>
        <v>Yes</v>
      </c>
    </row>
    <row r="120" spans="1:12" ht="15" customHeight="1" x14ac:dyDescent="0.2">
      <c r="A120" s="636"/>
      <c r="B120" s="634"/>
      <c r="C120" s="634"/>
      <c r="D120" s="637"/>
      <c r="E120" s="27"/>
      <c r="F120" s="29"/>
      <c r="G120" s="633"/>
      <c r="H120" s="634"/>
      <c r="I120" s="634"/>
      <c r="J120" s="635"/>
      <c r="K120" s="1">
        <f t="shared" si="5"/>
        <v>6</v>
      </c>
      <c r="L120" s="1" t="str">
        <f t="shared" si="6"/>
        <v>Yes</v>
      </c>
    </row>
    <row r="121" spans="1:12" ht="15" customHeight="1" x14ac:dyDescent="0.2">
      <c r="A121" s="636"/>
      <c r="B121" s="634"/>
      <c r="C121" s="634"/>
      <c r="D121" s="637"/>
      <c r="E121" s="27"/>
      <c r="F121" s="29"/>
      <c r="G121" s="633"/>
      <c r="H121" s="634"/>
      <c r="I121" s="634"/>
      <c r="J121" s="635"/>
      <c r="K121" s="1">
        <f t="shared" si="5"/>
        <v>6</v>
      </c>
      <c r="L121" s="1" t="str">
        <f t="shared" si="6"/>
        <v>Yes</v>
      </c>
    </row>
    <row r="122" spans="1:12" ht="15" customHeight="1" x14ac:dyDescent="0.2">
      <c r="A122" s="636"/>
      <c r="B122" s="634"/>
      <c r="C122" s="634"/>
      <c r="D122" s="637"/>
      <c r="E122" s="27"/>
      <c r="F122" s="29"/>
      <c r="G122" s="633"/>
      <c r="H122" s="634"/>
      <c r="I122" s="634"/>
      <c r="J122" s="635"/>
      <c r="K122" s="1">
        <f t="shared" si="5"/>
        <v>6</v>
      </c>
      <c r="L122" s="1" t="str">
        <f t="shared" si="6"/>
        <v>Yes</v>
      </c>
    </row>
    <row r="123" spans="1:12" ht="15" customHeight="1" x14ac:dyDescent="0.2">
      <c r="A123" s="636"/>
      <c r="B123" s="634"/>
      <c r="C123" s="634"/>
      <c r="D123" s="637"/>
      <c r="E123" s="27"/>
      <c r="F123" s="29"/>
      <c r="G123" s="633"/>
      <c r="H123" s="634"/>
      <c r="I123" s="634"/>
      <c r="J123" s="635"/>
      <c r="K123" s="1">
        <f t="shared" si="5"/>
        <v>6</v>
      </c>
      <c r="L123" s="1" t="str">
        <f t="shared" si="6"/>
        <v>Yes</v>
      </c>
    </row>
    <row r="124" spans="1:12" ht="15" customHeight="1" x14ac:dyDescent="0.2">
      <c r="A124" s="636"/>
      <c r="B124" s="634"/>
      <c r="C124" s="634"/>
      <c r="D124" s="637"/>
      <c r="E124" s="27"/>
      <c r="F124" s="29"/>
      <c r="G124" s="633"/>
      <c r="H124" s="634"/>
      <c r="I124" s="634"/>
      <c r="J124" s="635"/>
      <c r="K124" s="1">
        <f t="shared" si="5"/>
        <v>6</v>
      </c>
      <c r="L124" s="1" t="str">
        <f t="shared" si="6"/>
        <v>Yes</v>
      </c>
    </row>
    <row r="125" spans="1:12" ht="15" customHeight="1" x14ac:dyDescent="0.2">
      <c r="A125" s="636"/>
      <c r="B125" s="634"/>
      <c r="C125" s="634"/>
      <c r="D125" s="637"/>
      <c r="E125" s="27"/>
      <c r="F125" s="29"/>
      <c r="G125" s="633"/>
      <c r="H125" s="634"/>
      <c r="I125" s="634"/>
      <c r="J125" s="635"/>
      <c r="K125" s="1">
        <f t="shared" si="5"/>
        <v>6</v>
      </c>
      <c r="L125" s="1" t="str">
        <f t="shared" si="6"/>
        <v>Yes</v>
      </c>
    </row>
    <row r="126" spans="1:12" ht="15" customHeight="1" x14ac:dyDescent="0.2">
      <c r="A126" s="636"/>
      <c r="B126" s="634"/>
      <c r="C126" s="634"/>
      <c r="D126" s="637"/>
      <c r="E126" s="27"/>
      <c r="F126" s="29"/>
      <c r="G126" s="633"/>
      <c r="H126" s="634"/>
      <c r="I126" s="634"/>
      <c r="J126" s="635"/>
      <c r="K126" s="1">
        <f t="shared" si="5"/>
        <v>6</v>
      </c>
      <c r="L126" s="1" t="str">
        <f t="shared" si="6"/>
        <v>Yes</v>
      </c>
    </row>
    <row r="127" spans="1:12" ht="15" customHeight="1" x14ac:dyDescent="0.2">
      <c r="A127" s="636"/>
      <c r="B127" s="634"/>
      <c r="C127" s="634"/>
      <c r="D127" s="637"/>
      <c r="E127" s="27"/>
      <c r="F127" s="29"/>
      <c r="G127" s="633"/>
      <c r="H127" s="634"/>
      <c r="I127" s="634"/>
      <c r="J127" s="635"/>
      <c r="K127" s="1">
        <f t="shared" si="5"/>
        <v>6</v>
      </c>
      <c r="L127" s="1" t="str">
        <f t="shared" si="6"/>
        <v>Yes</v>
      </c>
    </row>
    <row r="128" spans="1:12" ht="15" customHeight="1" x14ac:dyDescent="0.2">
      <c r="A128" s="636"/>
      <c r="B128" s="634"/>
      <c r="C128" s="634"/>
      <c r="D128" s="637"/>
      <c r="E128" s="27"/>
      <c r="F128" s="29"/>
      <c r="G128" s="633"/>
      <c r="H128" s="634"/>
      <c r="I128" s="634"/>
      <c r="J128" s="635"/>
      <c r="K128" s="1">
        <f t="shared" si="5"/>
        <v>6</v>
      </c>
      <c r="L128" s="1" t="str">
        <f t="shared" si="6"/>
        <v>Yes</v>
      </c>
    </row>
    <row r="129" spans="1:12" ht="15" customHeight="1" x14ac:dyDescent="0.2">
      <c r="A129" s="636"/>
      <c r="B129" s="634"/>
      <c r="C129" s="634"/>
      <c r="D129" s="637"/>
      <c r="E129" s="27"/>
      <c r="F129" s="29"/>
      <c r="G129" s="633"/>
      <c r="H129" s="634"/>
      <c r="I129" s="634"/>
      <c r="J129" s="635"/>
      <c r="K129" s="1">
        <f t="shared" si="5"/>
        <v>6</v>
      </c>
      <c r="L129" s="1" t="str">
        <f t="shared" si="6"/>
        <v>Yes</v>
      </c>
    </row>
    <row r="130" spans="1:12" ht="15" customHeight="1" x14ac:dyDescent="0.2">
      <c r="A130" s="636"/>
      <c r="B130" s="634"/>
      <c r="C130" s="634"/>
      <c r="D130" s="637"/>
      <c r="E130" s="27"/>
      <c r="F130" s="29"/>
      <c r="G130" s="633"/>
      <c r="H130" s="634"/>
      <c r="I130" s="634"/>
      <c r="J130" s="635"/>
      <c r="K130" s="1">
        <f t="shared" si="5"/>
        <v>6</v>
      </c>
      <c r="L130" s="1" t="str">
        <f t="shared" si="6"/>
        <v>Yes</v>
      </c>
    </row>
    <row r="131" spans="1:12" ht="15" customHeight="1" x14ac:dyDescent="0.2">
      <c r="A131" s="636"/>
      <c r="B131" s="634"/>
      <c r="C131" s="634"/>
      <c r="D131" s="637"/>
      <c r="E131" s="27"/>
      <c r="F131" s="29"/>
      <c r="G131" s="633"/>
      <c r="H131" s="634"/>
      <c r="I131" s="634"/>
      <c r="J131" s="635"/>
      <c r="K131" s="1">
        <f t="shared" si="5"/>
        <v>6</v>
      </c>
      <c r="L131" s="1" t="str">
        <f t="shared" si="6"/>
        <v>Yes</v>
      </c>
    </row>
    <row r="132" spans="1:12" ht="15" customHeight="1" x14ac:dyDescent="0.2">
      <c r="A132" s="636"/>
      <c r="B132" s="634"/>
      <c r="C132" s="634"/>
      <c r="D132" s="637"/>
      <c r="E132" s="27"/>
      <c r="F132" s="29"/>
      <c r="G132" s="633"/>
      <c r="H132" s="634"/>
      <c r="I132" s="634"/>
      <c r="J132" s="635"/>
      <c r="K132" s="1">
        <f t="shared" si="5"/>
        <v>6</v>
      </c>
      <c r="L132" s="1" t="str">
        <f t="shared" si="6"/>
        <v>Yes</v>
      </c>
    </row>
    <row r="133" spans="1:12" ht="15" customHeight="1" x14ac:dyDescent="0.2">
      <c r="A133" s="636"/>
      <c r="B133" s="634"/>
      <c r="C133" s="634"/>
      <c r="D133" s="637"/>
      <c r="E133" s="27"/>
      <c r="F133" s="29"/>
      <c r="G133" s="633"/>
      <c r="H133" s="634"/>
      <c r="I133" s="634"/>
      <c r="J133" s="635"/>
      <c r="K133" s="1">
        <f t="shared" si="5"/>
        <v>6</v>
      </c>
      <c r="L133" s="1" t="str">
        <f t="shared" si="6"/>
        <v>Yes</v>
      </c>
    </row>
    <row r="134" spans="1:12" ht="15" customHeight="1" x14ac:dyDescent="0.2">
      <c r="A134" s="636"/>
      <c r="B134" s="634"/>
      <c r="C134" s="634"/>
      <c r="D134" s="637"/>
      <c r="E134" s="27"/>
      <c r="F134" s="29"/>
      <c r="G134" s="633"/>
      <c r="H134" s="634"/>
      <c r="I134" s="634"/>
      <c r="J134" s="635"/>
      <c r="K134" s="1">
        <f t="shared" si="5"/>
        <v>6</v>
      </c>
      <c r="L134" s="1" t="str">
        <f t="shared" si="6"/>
        <v>Yes</v>
      </c>
    </row>
    <row r="135" spans="1:12" ht="15" customHeight="1" x14ac:dyDescent="0.2">
      <c r="A135" s="636"/>
      <c r="B135" s="634"/>
      <c r="C135" s="634"/>
      <c r="D135" s="637"/>
      <c r="E135" s="27"/>
      <c r="F135" s="29"/>
      <c r="G135" s="633"/>
      <c r="H135" s="634"/>
      <c r="I135" s="634"/>
      <c r="J135" s="635"/>
      <c r="K135" s="1">
        <f t="shared" si="5"/>
        <v>6</v>
      </c>
      <c r="L135" s="1" t="str">
        <f t="shared" si="6"/>
        <v>Yes</v>
      </c>
    </row>
    <row r="136" spans="1:12" ht="15" customHeight="1" x14ac:dyDescent="0.2">
      <c r="A136" s="636"/>
      <c r="B136" s="634"/>
      <c r="C136" s="634"/>
      <c r="D136" s="637"/>
      <c r="E136" s="27"/>
      <c r="F136" s="29"/>
      <c r="G136" s="633"/>
      <c r="H136" s="634"/>
      <c r="I136" s="634"/>
      <c r="J136" s="635"/>
      <c r="K136" s="1">
        <f t="shared" si="5"/>
        <v>6</v>
      </c>
      <c r="L136" s="1" t="str">
        <f t="shared" si="6"/>
        <v>Yes</v>
      </c>
    </row>
    <row r="137" spans="1:12" ht="15" customHeight="1" x14ac:dyDescent="0.2">
      <c r="A137" s="636"/>
      <c r="B137" s="634"/>
      <c r="C137" s="634"/>
      <c r="D137" s="637"/>
      <c r="E137" s="27"/>
      <c r="F137" s="29"/>
      <c r="G137" s="633"/>
      <c r="H137" s="634"/>
      <c r="I137" s="634"/>
      <c r="J137" s="635"/>
      <c r="K137" s="1">
        <f t="shared" si="5"/>
        <v>6</v>
      </c>
      <c r="L137" s="1" t="str">
        <f t="shared" si="6"/>
        <v>Yes</v>
      </c>
    </row>
    <row r="138" spans="1:12" ht="15" customHeight="1" x14ac:dyDescent="0.2">
      <c r="A138" s="636"/>
      <c r="B138" s="634"/>
      <c r="C138" s="634"/>
      <c r="D138" s="637"/>
      <c r="E138" s="27"/>
      <c r="F138" s="29"/>
      <c r="G138" s="633"/>
      <c r="H138" s="634"/>
      <c r="I138" s="634"/>
      <c r="J138" s="635"/>
      <c r="K138" s="1">
        <f t="shared" si="5"/>
        <v>6</v>
      </c>
      <c r="L138" s="1" t="str">
        <f t="shared" si="6"/>
        <v>Yes</v>
      </c>
    </row>
    <row r="139" spans="1:12" ht="15" customHeight="1" x14ac:dyDescent="0.2">
      <c r="A139" s="636"/>
      <c r="B139" s="634"/>
      <c r="C139" s="634"/>
      <c r="D139" s="637"/>
      <c r="E139" s="27"/>
      <c r="F139" s="29"/>
      <c r="G139" s="633"/>
      <c r="H139" s="634"/>
      <c r="I139" s="634"/>
      <c r="J139" s="635"/>
      <c r="K139" s="1">
        <f t="shared" si="5"/>
        <v>6</v>
      </c>
      <c r="L139" s="1" t="str">
        <f t="shared" si="6"/>
        <v>Yes</v>
      </c>
    </row>
    <row r="140" spans="1:12" ht="15" customHeight="1" x14ac:dyDescent="0.2">
      <c r="A140" s="636"/>
      <c r="B140" s="634"/>
      <c r="C140" s="634"/>
      <c r="D140" s="637"/>
      <c r="E140" s="27"/>
      <c r="F140" s="29"/>
      <c r="G140" s="633"/>
      <c r="H140" s="634"/>
      <c r="I140" s="634"/>
      <c r="J140" s="635"/>
      <c r="K140" s="1">
        <f t="shared" si="5"/>
        <v>6</v>
      </c>
      <c r="L140" s="1" t="str">
        <f t="shared" si="6"/>
        <v>Yes</v>
      </c>
    </row>
    <row r="141" spans="1:12" ht="15" customHeight="1" x14ac:dyDescent="0.2">
      <c r="A141" s="644" t="s">
        <v>96</v>
      </c>
      <c r="B141" s="645"/>
      <c r="C141" s="645"/>
      <c r="D141" s="645"/>
      <c r="E141" s="646"/>
      <c r="F141" s="647">
        <f>SUM(F116:F140)</f>
        <v>0</v>
      </c>
      <c r="G141" s="648"/>
      <c r="H141" s="648"/>
      <c r="I141" s="648"/>
      <c r="J141" s="649"/>
      <c r="L141" s="1">
        <f>COUNTIF(L116:L140,"Yes")</f>
        <v>25</v>
      </c>
    </row>
    <row r="142" spans="1:12" ht="15" customHeight="1" x14ac:dyDescent="0.2">
      <c r="A142" s="672"/>
      <c r="B142" s="673"/>
      <c r="C142" s="673"/>
      <c r="D142" s="673"/>
      <c r="E142" s="673"/>
      <c r="F142" s="673"/>
      <c r="G142" s="673"/>
      <c r="H142" s="673"/>
      <c r="I142" s="673"/>
      <c r="J142" s="674"/>
    </row>
    <row r="143" spans="1:12" ht="18" customHeight="1" x14ac:dyDescent="0.2">
      <c r="A143" s="650" t="s">
        <v>97</v>
      </c>
      <c r="B143" s="651"/>
      <c r="C143" s="651"/>
      <c r="D143" s="651"/>
      <c r="E143" s="651"/>
      <c r="F143" s="651"/>
      <c r="G143" s="651"/>
      <c r="H143" s="651"/>
      <c r="I143" s="651"/>
      <c r="J143" s="652"/>
    </row>
    <row r="144" spans="1:12" ht="18" customHeight="1" x14ac:dyDescent="0.2">
      <c r="A144" s="650" t="s">
        <v>481</v>
      </c>
      <c r="B144" s="651"/>
      <c r="C144" s="651"/>
      <c r="D144" s="651"/>
      <c r="E144" s="651"/>
      <c r="F144" s="651"/>
      <c r="G144" s="651"/>
      <c r="H144" s="651"/>
      <c r="I144" s="651"/>
      <c r="J144" s="652"/>
    </row>
    <row r="145" spans="1:12" ht="15" customHeight="1" x14ac:dyDescent="0.2">
      <c r="A145" s="653" t="s">
        <v>49</v>
      </c>
      <c r="B145" s="654"/>
      <c r="C145" s="654"/>
      <c r="D145" s="655"/>
      <c r="E145" s="662" t="s">
        <v>43</v>
      </c>
      <c r="F145" s="665" t="s">
        <v>104</v>
      </c>
      <c r="G145" s="666" t="s">
        <v>53</v>
      </c>
      <c r="H145" s="654"/>
      <c r="I145" s="654"/>
      <c r="J145" s="667"/>
    </row>
    <row r="146" spans="1:12" ht="15" customHeight="1" x14ac:dyDescent="0.2">
      <c r="A146" s="656"/>
      <c r="B146" s="657"/>
      <c r="C146" s="657"/>
      <c r="D146" s="658"/>
      <c r="E146" s="663"/>
      <c r="F146" s="663"/>
      <c r="G146" s="668"/>
      <c r="H146" s="657"/>
      <c r="I146" s="657"/>
      <c r="J146" s="669"/>
    </row>
    <row r="147" spans="1:12" ht="15" customHeight="1" x14ac:dyDescent="0.2">
      <c r="A147" s="656"/>
      <c r="B147" s="657"/>
      <c r="C147" s="657"/>
      <c r="D147" s="658"/>
      <c r="E147" s="663"/>
      <c r="F147" s="663"/>
      <c r="G147" s="668"/>
      <c r="H147" s="657"/>
      <c r="I147" s="657"/>
      <c r="J147" s="669"/>
    </row>
    <row r="148" spans="1:12" ht="15" customHeight="1" x14ac:dyDescent="0.2">
      <c r="A148" s="656"/>
      <c r="B148" s="657"/>
      <c r="C148" s="657"/>
      <c r="D148" s="658"/>
      <c r="E148" s="663"/>
      <c r="F148" s="663"/>
      <c r="G148" s="668"/>
      <c r="H148" s="657"/>
      <c r="I148" s="657"/>
      <c r="J148" s="669"/>
    </row>
    <row r="149" spans="1:12" ht="15" customHeight="1" x14ac:dyDescent="0.2">
      <c r="A149" s="656"/>
      <c r="B149" s="657"/>
      <c r="C149" s="657"/>
      <c r="D149" s="658"/>
      <c r="E149" s="663"/>
      <c r="F149" s="663"/>
      <c r="G149" s="668"/>
      <c r="H149" s="657"/>
      <c r="I149" s="657"/>
      <c r="J149" s="669"/>
    </row>
    <row r="150" spans="1:12" ht="14.25" customHeight="1" x14ac:dyDescent="0.2">
      <c r="A150" s="659"/>
      <c r="B150" s="660"/>
      <c r="C150" s="660"/>
      <c r="D150" s="661"/>
      <c r="E150" s="664"/>
      <c r="F150" s="664"/>
      <c r="G150" s="670"/>
      <c r="H150" s="660"/>
      <c r="I150" s="660"/>
      <c r="J150" s="671"/>
    </row>
    <row r="151" spans="1:12" ht="15" customHeight="1" x14ac:dyDescent="0.2">
      <c r="A151" s="636"/>
      <c r="B151" s="634"/>
      <c r="C151" s="634"/>
      <c r="D151" s="637"/>
      <c r="E151" s="27"/>
      <c r="F151" s="29"/>
      <c r="G151" s="633"/>
      <c r="H151" s="634"/>
      <c r="I151" s="634"/>
      <c r="J151" s="635"/>
      <c r="K151" s="1">
        <f t="shared" ref="K151:K175" si="7">COUNTBLANK(E151:J151)</f>
        <v>6</v>
      </c>
      <c r="L151" s="1" t="str">
        <f>IF(AND(A151&lt;&gt;"",K151&gt;3),"No","Yes")</f>
        <v>Yes</v>
      </c>
    </row>
    <row r="152" spans="1:12" ht="15" customHeight="1" x14ac:dyDescent="0.2">
      <c r="A152" s="636"/>
      <c r="B152" s="634"/>
      <c r="C152" s="634"/>
      <c r="D152" s="637"/>
      <c r="E152" s="27"/>
      <c r="F152" s="29"/>
      <c r="G152" s="633"/>
      <c r="H152" s="634"/>
      <c r="I152" s="634"/>
      <c r="J152" s="635"/>
      <c r="K152" s="1">
        <f t="shared" si="7"/>
        <v>6</v>
      </c>
      <c r="L152" s="1" t="str">
        <f t="shared" ref="L152:L175" si="8">IF(AND(A152&lt;&gt;"",K152&gt;3),"No","Yes")</f>
        <v>Yes</v>
      </c>
    </row>
    <row r="153" spans="1:12" ht="15" customHeight="1" x14ac:dyDescent="0.2">
      <c r="A153" s="636"/>
      <c r="B153" s="634"/>
      <c r="C153" s="634"/>
      <c r="D153" s="637"/>
      <c r="E153" s="27"/>
      <c r="F153" s="29"/>
      <c r="G153" s="633"/>
      <c r="H153" s="634"/>
      <c r="I153" s="634"/>
      <c r="J153" s="635"/>
      <c r="K153" s="1">
        <f t="shared" si="7"/>
        <v>6</v>
      </c>
      <c r="L153" s="1" t="str">
        <f t="shared" si="8"/>
        <v>Yes</v>
      </c>
    </row>
    <row r="154" spans="1:12" ht="15" customHeight="1" x14ac:dyDescent="0.2">
      <c r="A154" s="636"/>
      <c r="B154" s="634"/>
      <c r="C154" s="634"/>
      <c r="D154" s="637"/>
      <c r="E154" s="27"/>
      <c r="F154" s="29"/>
      <c r="G154" s="633"/>
      <c r="H154" s="634"/>
      <c r="I154" s="634"/>
      <c r="J154" s="635"/>
      <c r="K154" s="1">
        <f t="shared" si="7"/>
        <v>6</v>
      </c>
      <c r="L154" s="1" t="str">
        <f t="shared" si="8"/>
        <v>Yes</v>
      </c>
    </row>
    <row r="155" spans="1:12" ht="15" customHeight="1" x14ac:dyDescent="0.2">
      <c r="A155" s="636"/>
      <c r="B155" s="634"/>
      <c r="C155" s="634"/>
      <c r="D155" s="637"/>
      <c r="E155" s="27"/>
      <c r="F155" s="29"/>
      <c r="G155" s="633"/>
      <c r="H155" s="634"/>
      <c r="I155" s="634"/>
      <c r="J155" s="635"/>
      <c r="K155" s="1">
        <f t="shared" si="7"/>
        <v>6</v>
      </c>
      <c r="L155" s="1" t="str">
        <f t="shared" si="8"/>
        <v>Yes</v>
      </c>
    </row>
    <row r="156" spans="1:12" ht="15" customHeight="1" x14ac:dyDescent="0.2">
      <c r="A156" s="636"/>
      <c r="B156" s="634"/>
      <c r="C156" s="634"/>
      <c r="D156" s="637"/>
      <c r="E156" s="27"/>
      <c r="F156" s="29"/>
      <c r="G156" s="633"/>
      <c r="H156" s="634"/>
      <c r="I156" s="634"/>
      <c r="J156" s="635"/>
      <c r="K156" s="1">
        <f t="shared" si="7"/>
        <v>6</v>
      </c>
      <c r="L156" s="1" t="str">
        <f t="shared" si="8"/>
        <v>Yes</v>
      </c>
    </row>
    <row r="157" spans="1:12" ht="15" customHeight="1" x14ac:dyDescent="0.2">
      <c r="A157" s="636"/>
      <c r="B157" s="634"/>
      <c r="C157" s="634"/>
      <c r="D157" s="637"/>
      <c r="E157" s="27"/>
      <c r="F157" s="29"/>
      <c r="G157" s="633"/>
      <c r="H157" s="634"/>
      <c r="I157" s="634"/>
      <c r="J157" s="635"/>
      <c r="K157" s="1">
        <f t="shared" si="7"/>
        <v>6</v>
      </c>
      <c r="L157" s="1" t="str">
        <f t="shared" si="8"/>
        <v>Yes</v>
      </c>
    </row>
    <row r="158" spans="1:12" ht="15" customHeight="1" x14ac:dyDescent="0.2">
      <c r="A158" s="636"/>
      <c r="B158" s="634"/>
      <c r="C158" s="634"/>
      <c r="D158" s="637"/>
      <c r="E158" s="27"/>
      <c r="F158" s="29"/>
      <c r="G158" s="633"/>
      <c r="H158" s="634"/>
      <c r="I158" s="634"/>
      <c r="J158" s="635"/>
      <c r="K158" s="1">
        <f t="shared" si="7"/>
        <v>6</v>
      </c>
      <c r="L158" s="1" t="str">
        <f t="shared" si="8"/>
        <v>Yes</v>
      </c>
    </row>
    <row r="159" spans="1:12" ht="15" customHeight="1" x14ac:dyDescent="0.2">
      <c r="A159" s="636"/>
      <c r="B159" s="634"/>
      <c r="C159" s="634"/>
      <c r="D159" s="637"/>
      <c r="E159" s="27"/>
      <c r="F159" s="29"/>
      <c r="G159" s="633"/>
      <c r="H159" s="634"/>
      <c r="I159" s="634"/>
      <c r="J159" s="635"/>
      <c r="K159" s="1">
        <f t="shared" si="7"/>
        <v>6</v>
      </c>
      <c r="L159" s="1" t="str">
        <f t="shared" si="8"/>
        <v>Yes</v>
      </c>
    </row>
    <row r="160" spans="1:12" ht="15" customHeight="1" x14ac:dyDescent="0.2">
      <c r="A160" s="636"/>
      <c r="B160" s="634"/>
      <c r="C160" s="634"/>
      <c r="D160" s="637"/>
      <c r="E160" s="27"/>
      <c r="F160" s="29"/>
      <c r="G160" s="633"/>
      <c r="H160" s="634"/>
      <c r="I160" s="634"/>
      <c r="J160" s="635"/>
      <c r="K160" s="1">
        <f t="shared" si="7"/>
        <v>6</v>
      </c>
      <c r="L160" s="1" t="str">
        <f t="shared" si="8"/>
        <v>Yes</v>
      </c>
    </row>
    <row r="161" spans="1:12" ht="15" customHeight="1" x14ac:dyDescent="0.2">
      <c r="A161" s="636"/>
      <c r="B161" s="634"/>
      <c r="C161" s="634"/>
      <c r="D161" s="637"/>
      <c r="E161" s="27"/>
      <c r="F161" s="29"/>
      <c r="G161" s="633"/>
      <c r="H161" s="634"/>
      <c r="I161" s="634"/>
      <c r="J161" s="635"/>
      <c r="K161" s="1">
        <f t="shared" si="7"/>
        <v>6</v>
      </c>
      <c r="L161" s="1" t="str">
        <f t="shared" si="8"/>
        <v>Yes</v>
      </c>
    </row>
    <row r="162" spans="1:12" ht="15" customHeight="1" x14ac:dyDescent="0.2">
      <c r="A162" s="636"/>
      <c r="B162" s="634"/>
      <c r="C162" s="634"/>
      <c r="D162" s="637"/>
      <c r="E162" s="27"/>
      <c r="F162" s="29"/>
      <c r="G162" s="633"/>
      <c r="H162" s="634"/>
      <c r="I162" s="634"/>
      <c r="J162" s="635"/>
      <c r="K162" s="1">
        <f t="shared" si="7"/>
        <v>6</v>
      </c>
      <c r="L162" s="1" t="str">
        <f t="shared" si="8"/>
        <v>Yes</v>
      </c>
    </row>
    <row r="163" spans="1:12" ht="15" customHeight="1" x14ac:dyDescent="0.2">
      <c r="A163" s="636"/>
      <c r="B163" s="634"/>
      <c r="C163" s="634"/>
      <c r="D163" s="637"/>
      <c r="E163" s="27"/>
      <c r="F163" s="29"/>
      <c r="G163" s="633"/>
      <c r="H163" s="634"/>
      <c r="I163" s="634"/>
      <c r="J163" s="635"/>
      <c r="K163" s="1">
        <f t="shared" si="7"/>
        <v>6</v>
      </c>
      <c r="L163" s="1" t="str">
        <f t="shared" si="8"/>
        <v>Yes</v>
      </c>
    </row>
    <row r="164" spans="1:12" ht="15" customHeight="1" x14ac:dyDescent="0.2">
      <c r="A164" s="636"/>
      <c r="B164" s="634"/>
      <c r="C164" s="634"/>
      <c r="D164" s="637"/>
      <c r="E164" s="27"/>
      <c r="F164" s="29"/>
      <c r="G164" s="633"/>
      <c r="H164" s="634"/>
      <c r="I164" s="634"/>
      <c r="J164" s="635"/>
      <c r="K164" s="1">
        <f t="shared" si="7"/>
        <v>6</v>
      </c>
      <c r="L164" s="1" t="str">
        <f t="shared" si="8"/>
        <v>Yes</v>
      </c>
    </row>
    <row r="165" spans="1:12" ht="15" customHeight="1" x14ac:dyDescent="0.2">
      <c r="A165" s="636"/>
      <c r="B165" s="634"/>
      <c r="C165" s="634"/>
      <c r="D165" s="637"/>
      <c r="E165" s="27"/>
      <c r="F165" s="29"/>
      <c r="G165" s="633"/>
      <c r="H165" s="634"/>
      <c r="I165" s="634"/>
      <c r="J165" s="635"/>
      <c r="K165" s="1">
        <f t="shared" si="7"/>
        <v>6</v>
      </c>
      <c r="L165" s="1" t="str">
        <f t="shared" si="8"/>
        <v>Yes</v>
      </c>
    </row>
    <row r="166" spans="1:12" ht="15" customHeight="1" x14ac:dyDescent="0.2">
      <c r="A166" s="636"/>
      <c r="B166" s="634"/>
      <c r="C166" s="634"/>
      <c r="D166" s="637"/>
      <c r="E166" s="27"/>
      <c r="F166" s="29"/>
      <c r="G166" s="633"/>
      <c r="H166" s="634"/>
      <c r="I166" s="634"/>
      <c r="J166" s="635"/>
      <c r="K166" s="1">
        <f t="shared" si="7"/>
        <v>6</v>
      </c>
      <c r="L166" s="1" t="str">
        <f t="shared" si="8"/>
        <v>Yes</v>
      </c>
    </row>
    <row r="167" spans="1:12" ht="15" customHeight="1" x14ac:dyDescent="0.2">
      <c r="A167" s="636"/>
      <c r="B167" s="634"/>
      <c r="C167" s="634"/>
      <c r="D167" s="637"/>
      <c r="E167" s="27"/>
      <c r="F167" s="29"/>
      <c r="G167" s="633"/>
      <c r="H167" s="634"/>
      <c r="I167" s="634"/>
      <c r="J167" s="635"/>
      <c r="K167" s="1">
        <f t="shared" si="7"/>
        <v>6</v>
      </c>
      <c r="L167" s="1" t="str">
        <f t="shared" si="8"/>
        <v>Yes</v>
      </c>
    </row>
    <row r="168" spans="1:12" ht="15" customHeight="1" x14ac:dyDescent="0.2">
      <c r="A168" s="636"/>
      <c r="B168" s="634"/>
      <c r="C168" s="634"/>
      <c r="D168" s="637"/>
      <c r="E168" s="27"/>
      <c r="F168" s="29"/>
      <c r="G168" s="633"/>
      <c r="H168" s="634"/>
      <c r="I168" s="634"/>
      <c r="J168" s="635"/>
      <c r="K168" s="1">
        <f t="shared" si="7"/>
        <v>6</v>
      </c>
      <c r="L168" s="1" t="str">
        <f t="shared" si="8"/>
        <v>Yes</v>
      </c>
    </row>
    <row r="169" spans="1:12" ht="15" customHeight="1" x14ac:dyDescent="0.2">
      <c r="A169" s="636"/>
      <c r="B169" s="634"/>
      <c r="C169" s="634"/>
      <c r="D169" s="637"/>
      <c r="E169" s="27"/>
      <c r="F169" s="29"/>
      <c r="G169" s="633"/>
      <c r="H169" s="634"/>
      <c r="I169" s="634"/>
      <c r="J169" s="635"/>
      <c r="K169" s="1">
        <f t="shared" si="7"/>
        <v>6</v>
      </c>
      <c r="L169" s="1" t="str">
        <f t="shared" si="8"/>
        <v>Yes</v>
      </c>
    </row>
    <row r="170" spans="1:12" ht="15" customHeight="1" x14ac:dyDescent="0.2">
      <c r="A170" s="636"/>
      <c r="B170" s="634"/>
      <c r="C170" s="634"/>
      <c r="D170" s="637"/>
      <c r="E170" s="27"/>
      <c r="F170" s="29"/>
      <c r="G170" s="633"/>
      <c r="H170" s="634"/>
      <c r="I170" s="634"/>
      <c r="J170" s="635"/>
      <c r="K170" s="1">
        <f t="shared" si="7"/>
        <v>6</v>
      </c>
      <c r="L170" s="1" t="str">
        <f t="shared" si="8"/>
        <v>Yes</v>
      </c>
    </row>
    <row r="171" spans="1:12" ht="15" customHeight="1" x14ac:dyDescent="0.2">
      <c r="A171" s="636"/>
      <c r="B171" s="634"/>
      <c r="C171" s="634"/>
      <c r="D171" s="637"/>
      <c r="E171" s="27"/>
      <c r="F171" s="29"/>
      <c r="G171" s="633"/>
      <c r="H171" s="634"/>
      <c r="I171" s="634"/>
      <c r="J171" s="635"/>
      <c r="K171" s="1">
        <f t="shared" si="7"/>
        <v>6</v>
      </c>
      <c r="L171" s="1" t="str">
        <f t="shared" si="8"/>
        <v>Yes</v>
      </c>
    </row>
    <row r="172" spans="1:12" ht="15" customHeight="1" x14ac:dyDescent="0.2">
      <c r="A172" s="636"/>
      <c r="B172" s="634"/>
      <c r="C172" s="634"/>
      <c r="D172" s="637"/>
      <c r="E172" s="27"/>
      <c r="F172" s="29"/>
      <c r="G172" s="633"/>
      <c r="H172" s="634"/>
      <c r="I172" s="634"/>
      <c r="J172" s="635"/>
      <c r="K172" s="1">
        <f t="shared" si="7"/>
        <v>6</v>
      </c>
      <c r="L172" s="1" t="str">
        <f t="shared" si="8"/>
        <v>Yes</v>
      </c>
    </row>
    <row r="173" spans="1:12" ht="15" customHeight="1" x14ac:dyDescent="0.2">
      <c r="A173" s="636"/>
      <c r="B173" s="634"/>
      <c r="C173" s="634"/>
      <c r="D173" s="637"/>
      <c r="E173" s="27"/>
      <c r="F173" s="29"/>
      <c r="G173" s="633"/>
      <c r="H173" s="634"/>
      <c r="I173" s="634"/>
      <c r="J173" s="635"/>
      <c r="K173" s="1">
        <f t="shared" si="7"/>
        <v>6</v>
      </c>
      <c r="L173" s="1" t="str">
        <f t="shared" si="8"/>
        <v>Yes</v>
      </c>
    </row>
    <row r="174" spans="1:12" ht="15" customHeight="1" x14ac:dyDescent="0.2">
      <c r="A174" s="636"/>
      <c r="B174" s="634"/>
      <c r="C174" s="634"/>
      <c r="D174" s="637"/>
      <c r="E174" s="27"/>
      <c r="F174" s="29"/>
      <c r="G174" s="633"/>
      <c r="H174" s="634"/>
      <c r="I174" s="634"/>
      <c r="J174" s="635"/>
      <c r="K174" s="1">
        <f t="shared" si="7"/>
        <v>6</v>
      </c>
      <c r="L174" s="1" t="str">
        <f t="shared" si="8"/>
        <v>Yes</v>
      </c>
    </row>
    <row r="175" spans="1:12" ht="15" customHeight="1" x14ac:dyDescent="0.2">
      <c r="A175" s="636"/>
      <c r="B175" s="634"/>
      <c r="C175" s="634"/>
      <c r="D175" s="637"/>
      <c r="E175" s="27"/>
      <c r="F175" s="29"/>
      <c r="G175" s="633"/>
      <c r="H175" s="634"/>
      <c r="I175" s="634"/>
      <c r="J175" s="635"/>
      <c r="K175" s="1">
        <f t="shared" si="7"/>
        <v>6</v>
      </c>
      <c r="L175" s="1" t="str">
        <f t="shared" si="8"/>
        <v>Yes</v>
      </c>
    </row>
    <row r="176" spans="1:12" ht="15" customHeight="1" x14ac:dyDescent="0.2">
      <c r="A176" s="644" t="s">
        <v>98</v>
      </c>
      <c r="B176" s="645"/>
      <c r="C176" s="645"/>
      <c r="D176" s="645"/>
      <c r="E176" s="646"/>
      <c r="F176" s="647">
        <f>SUM(F151:F175)</f>
        <v>0</v>
      </c>
      <c r="G176" s="648"/>
      <c r="H176" s="648"/>
      <c r="I176" s="648"/>
      <c r="J176" s="649"/>
      <c r="L176" s="1">
        <f>COUNTIF(L151:L175,"Yes")</f>
        <v>25</v>
      </c>
    </row>
    <row r="177" spans="1:12" ht="15" customHeight="1" x14ac:dyDescent="0.2">
      <c r="A177" s="672"/>
      <c r="B177" s="673"/>
      <c r="C177" s="673"/>
      <c r="D177" s="673"/>
      <c r="E177" s="673"/>
      <c r="F177" s="673"/>
      <c r="G177" s="673"/>
      <c r="H177" s="673"/>
      <c r="I177" s="673"/>
      <c r="J177" s="674"/>
    </row>
    <row r="178" spans="1:12" ht="34.5" customHeight="1" x14ac:dyDescent="0.2">
      <c r="A178" s="650" t="s">
        <v>46</v>
      </c>
      <c r="B178" s="651"/>
      <c r="C178" s="651"/>
      <c r="D178" s="651"/>
      <c r="E178" s="651"/>
      <c r="F178" s="651"/>
      <c r="G178" s="651"/>
      <c r="H178" s="651"/>
      <c r="I178" s="651"/>
      <c r="J178" s="652"/>
    </row>
    <row r="179" spans="1:12" ht="18" customHeight="1" x14ac:dyDescent="0.2">
      <c r="A179" s="650" t="s">
        <v>481</v>
      </c>
      <c r="B179" s="651"/>
      <c r="C179" s="651"/>
      <c r="D179" s="651"/>
      <c r="E179" s="651"/>
      <c r="F179" s="651"/>
      <c r="G179" s="651"/>
      <c r="H179" s="651"/>
      <c r="I179" s="651"/>
      <c r="J179" s="652"/>
    </row>
    <row r="180" spans="1:12" ht="15" customHeight="1" x14ac:dyDescent="0.2">
      <c r="A180" s="653" t="s">
        <v>49</v>
      </c>
      <c r="B180" s="654"/>
      <c r="C180" s="654"/>
      <c r="D180" s="655"/>
      <c r="E180" s="662" t="s">
        <v>43</v>
      </c>
      <c r="F180" s="665" t="s">
        <v>104</v>
      </c>
      <c r="G180" s="666" t="s">
        <v>53</v>
      </c>
      <c r="H180" s="654"/>
      <c r="I180" s="654"/>
      <c r="J180" s="667"/>
    </row>
    <row r="181" spans="1:12" ht="15" customHeight="1" x14ac:dyDescent="0.2">
      <c r="A181" s="656"/>
      <c r="B181" s="657"/>
      <c r="C181" s="657"/>
      <c r="D181" s="658"/>
      <c r="E181" s="663"/>
      <c r="F181" s="663"/>
      <c r="G181" s="668"/>
      <c r="H181" s="657"/>
      <c r="I181" s="657"/>
      <c r="J181" s="669"/>
    </row>
    <row r="182" spans="1:12" ht="15" customHeight="1" x14ac:dyDescent="0.2">
      <c r="A182" s="656"/>
      <c r="B182" s="657"/>
      <c r="C182" s="657"/>
      <c r="D182" s="658"/>
      <c r="E182" s="663"/>
      <c r="F182" s="663"/>
      <c r="G182" s="668"/>
      <c r="H182" s="657"/>
      <c r="I182" s="657"/>
      <c r="J182" s="669"/>
    </row>
    <row r="183" spans="1:12" ht="15" customHeight="1" x14ac:dyDescent="0.2">
      <c r="A183" s="656"/>
      <c r="B183" s="657"/>
      <c r="C183" s="657"/>
      <c r="D183" s="658"/>
      <c r="E183" s="663"/>
      <c r="F183" s="663"/>
      <c r="G183" s="668"/>
      <c r="H183" s="657"/>
      <c r="I183" s="657"/>
      <c r="J183" s="669"/>
    </row>
    <row r="184" spans="1:12" ht="15" customHeight="1" x14ac:dyDescent="0.2">
      <c r="A184" s="656"/>
      <c r="B184" s="657"/>
      <c r="C184" s="657"/>
      <c r="D184" s="658"/>
      <c r="E184" s="663"/>
      <c r="F184" s="663"/>
      <c r="G184" s="668"/>
      <c r="H184" s="657"/>
      <c r="I184" s="657"/>
      <c r="J184" s="669"/>
    </row>
    <row r="185" spans="1:12" ht="14.25" customHeight="1" x14ac:dyDescent="0.2">
      <c r="A185" s="659"/>
      <c r="B185" s="660"/>
      <c r="C185" s="660"/>
      <c r="D185" s="661"/>
      <c r="E185" s="664"/>
      <c r="F185" s="664"/>
      <c r="G185" s="670"/>
      <c r="H185" s="660"/>
      <c r="I185" s="660"/>
      <c r="J185" s="671"/>
    </row>
    <row r="186" spans="1:12" ht="15" customHeight="1" x14ac:dyDescent="0.2">
      <c r="A186" s="636"/>
      <c r="B186" s="634"/>
      <c r="C186" s="634"/>
      <c r="D186" s="637"/>
      <c r="E186" s="27"/>
      <c r="F186" s="29"/>
      <c r="G186" s="633"/>
      <c r="H186" s="634"/>
      <c r="I186" s="634"/>
      <c r="J186" s="635"/>
      <c r="K186" s="1">
        <f t="shared" ref="K186:K210" si="9">COUNTBLANK(E186:J186)</f>
        <v>6</v>
      </c>
      <c r="L186" s="1" t="str">
        <f>IF(AND(A186&lt;&gt;"",K186&gt;3),"No","Yes")</f>
        <v>Yes</v>
      </c>
    </row>
    <row r="187" spans="1:12" ht="15" customHeight="1" x14ac:dyDescent="0.2">
      <c r="A187" s="636"/>
      <c r="B187" s="634"/>
      <c r="C187" s="634"/>
      <c r="D187" s="637"/>
      <c r="E187" s="27"/>
      <c r="F187" s="29"/>
      <c r="G187" s="633"/>
      <c r="H187" s="634"/>
      <c r="I187" s="634"/>
      <c r="J187" s="635"/>
      <c r="K187" s="1">
        <f t="shared" si="9"/>
        <v>6</v>
      </c>
      <c r="L187" s="1" t="str">
        <f t="shared" ref="L187:L210" si="10">IF(AND(A187&lt;&gt;"",K187&gt;3),"No","Yes")</f>
        <v>Yes</v>
      </c>
    </row>
    <row r="188" spans="1:12" ht="15" customHeight="1" x14ac:dyDescent="0.2">
      <c r="A188" s="636"/>
      <c r="B188" s="634"/>
      <c r="C188" s="634"/>
      <c r="D188" s="637"/>
      <c r="E188" s="27"/>
      <c r="F188" s="29"/>
      <c r="G188" s="633"/>
      <c r="H188" s="634"/>
      <c r="I188" s="634"/>
      <c r="J188" s="635"/>
      <c r="K188" s="1">
        <f t="shared" si="9"/>
        <v>6</v>
      </c>
      <c r="L188" s="1" t="str">
        <f t="shared" si="10"/>
        <v>Yes</v>
      </c>
    </row>
    <row r="189" spans="1:12" ht="15" customHeight="1" x14ac:dyDescent="0.2">
      <c r="A189" s="636"/>
      <c r="B189" s="634"/>
      <c r="C189" s="634"/>
      <c r="D189" s="637"/>
      <c r="E189" s="27"/>
      <c r="F189" s="29"/>
      <c r="G189" s="633"/>
      <c r="H189" s="634"/>
      <c r="I189" s="634"/>
      <c r="J189" s="635"/>
      <c r="K189" s="1">
        <f t="shared" si="9"/>
        <v>6</v>
      </c>
      <c r="L189" s="1" t="str">
        <f t="shared" si="10"/>
        <v>Yes</v>
      </c>
    </row>
    <row r="190" spans="1:12" ht="15" customHeight="1" x14ac:dyDescent="0.2">
      <c r="A190" s="636"/>
      <c r="B190" s="634"/>
      <c r="C190" s="634"/>
      <c r="D190" s="637"/>
      <c r="E190" s="27"/>
      <c r="F190" s="29"/>
      <c r="G190" s="633"/>
      <c r="H190" s="634"/>
      <c r="I190" s="634"/>
      <c r="J190" s="635"/>
      <c r="K190" s="1">
        <f t="shared" si="9"/>
        <v>6</v>
      </c>
      <c r="L190" s="1" t="str">
        <f t="shared" si="10"/>
        <v>Yes</v>
      </c>
    </row>
    <row r="191" spans="1:12" ht="15" customHeight="1" x14ac:dyDescent="0.2">
      <c r="A191" s="636"/>
      <c r="B191" s="634"/>
      <c r="C191" s="634"/>
      <c r="D191" s="637"/>
      <c r="E191" s="27"/>
      <c r="F191" s="29"/>
      <c r="G191" s="633"/>
      <c r="H191" s="634"/>
      <c r="I191" s="634"/>
      <c r="J191" s="635"/>
      <c r="K191" s="1">
        <f t="shared" si="9"/>
        <v>6</v>
      </c>
      <c r="L191" s="1" t="str">
        <f t="shared" si="10"/>
        <v>Yes</v>
      </c>
    </row>
    <row r="192" spans="1:12" ht="15" customHeight="1" x14ac:dyDescent="0.2">
      <c r="A192" s="636"/>
      <c r="B192" s="634"/>
      <c r="C192" s="634"/>
      <c r="D192" s="637"/>
      <c r="E192" s="27"/>
      <c r="F192" s="29"/>
      <c r="G192" s="633"/>
      <c r="H192" s="634"/>
      <c r="I192" s="634"/>
      <c r="J192" s="635"/>
      <c r="K192" s="1">
        <f t="shared" si="9"/>
        <v>6</v>
      </c>
      <c r="L192" s="1" t="str">
        <f t="shared" si="10"/>
        <v>Yes</v>
      </c>
    </row>
    <row r="193" spans="1:12" ht="15" customHeight="1" x14ac:dyDescent="0.2">
      <c r="A193" s="636"/>
      <c r="B193" s="634"/>
      <c r="C193" s="634"/>
      <c r="D193" s="637"/>
      <c r="E193" s="27"/>
      <c r="F193" s="29"/>
      <c r="G193" s="633"/>
      <c r="H193" s="634"/>
      <c r="I193" s="634"/>
      <c r="J193" s="635"/>
      <c r="K193" s="1">
        <f t="shared" si="9"/>
        <v>6</v>
      </c>
      <c r="L193" s="1" t="str">
        <f t="shared" si="10"/>
        <v>Yes</v>
      </c>
    </row>
    <row r="194" spans="1:12" ht="15" customHeight="1" x14ac:dyDescent="0.2">
      <c r="A194" s="636"/>
      <c r="B194" s="634"/>
      <c r="C194" s="634"/>
      <c r="D194" s="637"/>
      <c r="E194" s="27"/>
      <c r="F194" s="29"/>
      <c r="G194" s="633"/>
      <c r="H194" s="634"/>
      <c r="I194" s="634"/>
      <c r="J194" s="635"/>
      <c r="K194" s="1">
        <f t="shared" si="9"/>
        <v>6</v>
      </c>
      <c r="L194" s="1" t="str">
        <f t="shared" si="10"/>
        <v>Yes</v>
      </c>
    </row>
    <row r="195" spans="1:12" ht="15" customHeight="1" x14ac:dyDescent="0.2">
      <c r="A195" s="636"/>
      <c r="B195" s="634"/>
      <c r="C195" s="634"/>
      <c r="D195" s="637"/>
      <c r="E195" s="27"/>
      <c r="F195" s="29"/>
      <c r="G195" s="633"/>
      <c r="H195" s="634"/>
      <c r="I195" s="634"/>
      <c r="J195" s="635"/>
      <c r="K195" s="1">
        <f t="shared" si="9"/>
        <v>6</v>
      </c>
      <c r="L195" s="1" t="str">
        <f t="shared" si="10"/>
        <v>Yes</v>
      </c>
    </row>
    <row r="196" spans="1:12" ht="15" customHeight="1" x14ac:dyDescent="0.2">
      <c r="A196" s="636"/>
      <c r="B196" s="634"/>
      <c r="C196" s="634"/>
      <c r="D196" s="637"/>
      <c r="E196" s="27"/>
      <c r="F196" s="29"/>
      <c r="G196" s="633"/>
      <c r="H196" s="634"/>
      <c r="I196" s="634"/>
      <c r="J196" s="635"/>
      <c r="K196" s="1">
        <f t="shared" si="9"/>
        <v>6</v>
      </c>
      <c r="L196" s="1" t="str">
        <f t="shared" si="10"/>
        <v>Yes</v>
      </c>
    </row>
    <row r="197" spans="1:12" ht="15" customHeight="1" x14ac:dyDescent="0.2">
      <c r="A197" s="636"/>
      <c r="B197" s="634"/>
      <c r="C197" s="634"/>
      <c r="D197" s="637"/>
      <c r="E197" s="27"/>
      <c r="F197" s="29"/>
      <c r="G197" s="633"/>
      <c r="H197" s="634"/>
      <c r="I197" s="634"/>
      <c r="J197" s="635"/>
      <c r="K197" s="1">
        <f t="shared" si="9"/>
        <v>6</v>
      </c>
      <c r="L197" s="1" t="str">
        <f t="shared" si="10"/>
        <v>Yes</v>
      </c>
    </row>
    <row r="198" spans="1:12" ht="15" customHeight="1" x14ac:dyDescent="0.2">
      <c r="A198" s="636"/>
      <c r="B198" s="634"/>
      <c r="C198" s="634"/>
      <c r="D198" s="637"/>
      <c r="E198" s="27"/>
      <c r="F198" s="29"/>
      <c r="G198" s="633"/>
      <c r="H198" s="634"/>
      <c r="I198" s="634"/>
      <c r="J198" s="635"/>
      <c r="K198" s="1">
        <f t="shared" si="9"/>
        <v>6</v>
      </c>
      <c r="L198" s="1" t="str">
        <f t="shared" si="10"/>
        <v>Yes</v>
      </c>
    </row>
    <row r="199" spans="1:12" ht="15" customHeight="1" x14ac:dyDescent="0.2">
      <c r="A199" s="636"/>
      <c r="B199" s="634"/>
      <c r="C199" s="634"/>
      <c r="D199" s="637"/>
      <c r="E199" s="27"/>
      <c r="F199" s="29"/>
      <c r="G199" s="633"/>
      <c r="H199" s="634"/>
      <c r="I199" s="634"/>
      <c r="J199" s="635"/>
      <c r="K199" s="1">
        <f t="shared" si="9"/>
        <v>6</v>
      </c>
      <c r="L199" s="1" t="str">
        <f t="shared" si="10"/>
        <v>Yes</v>
      </c>
    </row>
    <row r="200" spans="1:12" ht="15" customHeight="1" x14ac:dyDescent="0.2">
      <c r="A200" s="636"/>
      <c r="B200" s="634"/>
      <c r="C200" s="634"/>
      <c r="D200" s="637"/>
      <c r="E200" s="27"/>
      <c r="F200" s="29"/>
      <c r="G200" s="633"/>
      <c r="H200" s="634"/>
      <c r="I200" s="634"/>
      <c r="J200" s="635"/>
      <c r="K200" s="1">
        <f t="shared" si="9"/>
        <v>6</v>
      </c>
      <c r="L200" s="1" t="str">
        <f t="shared" si="10"/>
        <v>Yes</v>
      </c>
    </row>
    <row r="201" spans="1:12" ht="15" customHeight="1" x14ac:dyDescent="0.2">
      <c r="A201" s="636"/>
      <c r="B201" s="634"/>
      <c r="C201" s="634"/>
      <c r="D201" s="637"/>
      <c r="E201" s="27"/>
      <c r="F201" s="29"/>
      <c r="G201" s="633"/>
      <c r="H201" s="634"/>
      <c r="I201" s="634"/>
      <c r="J201" s="635"/>
      <c r="K201" s="1">
        <f t="shared" si="9"/>
        <v>6</v>
      </c>
      <c r="L201" s="1" t="str">
        <f t="shared" si="10"/>
        <v>Yes</v>
      </c>
    </row>
    <row r="202" spans="1:12" ht="15" customHeight="1" x14ac:dyDescent="0.2">
      <c r="A202" s="636"/>
      <c r="B202" s="634"/>
      <c r="C202" s="634"/>
      <c r="D202" s="637"/>
      <c r="E202" s="27"/>
      <c r="F202" s="29"/>
      <c r="G202" s="633"/>
      <c r="H202" s="634"/>
      <c r="I202" s="634"/>
      <c r="J202" s="635"/>
      <c r="K202" s="1">
        <f t="shared" si="9"/>
        <v>6</v>
      </c>
      <c r="L202" s="1" t="str">
        <f t="shared" si="10"/>
        <v>Yes</v>
      </c>
    </row>
    <row r="203" spans="1:12" ht="15" customHeight="1" x14ac:dyDescent="0.2">
      <c r="A203" s="636"/>
      <c r="B203" s="634"/>
      <c r="C203" s="634"/>
      <c r="D203" s="637"/>
      <c r="E203" s="27"/>
      <c r="F203" s="29"/>
      <c r="G203" s="633"/>
      <c r="H203" s="634"/>
      <c r="I203" s="634"/>
      <c r="J203" s="635"/>
      <c r="K203" s="1">
        <f t="shared" si="9"/>
        <v>6</v>
      </c>
      <c r="L203" s="1" t="str">
        <f t="shared" si="10"/>
        <v>Yes</v>
      </c>
    </row>
    <row r="204" spans="1:12" ht="15" customHeight="1" x14ac:dyDescent="0.2">
      <c r="A204" s="636"/>
      <c r="B204" s="634"/>
      <c r="C204" s="634"/>
      <c r="D204" s="637"/>
      <c r="E204" s="27"/>
      <c r="F204" s="29"/>
      <c r="G204" s="633"/>
      <c r="H204" s="634"/>
      <c r="I204" s="634"/>
      <c r="J204" s="635"/>
      <c r="K204" s="1">
        <f t="shared" si="9"/>
        <v>6</v>
      </c>
      <c r="L204" s="1" t="str">
        <f t="shared" si="10"/>
        <v>Yes</v>
      </c>
    </row>
    <row r="205" spans="1:12" ht="15" customHeight="1" x14ac:dyDescent="0.2">
      <c r="A205" s="636"/>
      <c r="B205" s="634"/>
      <c r="C205" s="634"/>
      <c r="D205" s="637"/>
      <c r="E205" s="27"/>
      <c r="F205" s="29"/>
      <c r="G205" s="633"/>
      <c r="H205" s="634"/>
      <c r="I205" s="634"/>
      <c r="J205" s="635"/>
      <c r="K205" s="1">
        <f t="shared" si="9"/>
        <v>6</v>
      </c>
      <c r="L205" s="1" t="str">
        <f t="shared" si="10"/>
        <v>Yes</v>
      </c>
    </row>
    <row r="206" spans="1:12" ht="15" customHeight="1" x14ac:dyDescent="0.2">
      <c r="A206" s="636"/>
      <c r="B206" s="634"/>
      <c r="C206" s="634"/>
      <c r="D206" s="637"/>
      <c r="E206" s="27"/>
      <c r="F206" s="29"/>
      <c r="G206" s="633"/>
      <c r="H206" s="634"/>
      <c r="I206" s="634"/>
      <c r="J206" s="635"/>
      <c r="K206" s="1">
        <f t="shared" si="9"/>
        <v>6</v>
      </c>
      <c r="L206" s="1" t="str">
        <f t="shared" si="10"/>
        <v>Yes</v>
      </c>
    </row>
    <row r="207" spans="1:12" ht="15" customHeight="1" x14ac:dyDescent="0.2">
      <c r="A207" s="636"/>
      <c r="B207" s="634"/>
      <c r="C207" s="634"/>
      <c r="D207" s="637"/>
      <c r="E207" s="27"/>
      <c r="F207" s="29"/>
      <c r="G207" s="633"/>
      <c r="H207" s="634"/>
      <c r="I207" s="634"/>
      <c r="J207" s="635"/>
      <c r="K207" s="1">
        <f t="shared" si="9"/>
        <v>6</v>
      </c>
      <c r="L207" s="1" t="str">
        <f t="shared" si="10"/>
        <v>Yes</v>
      </c>
    </row>
    <row r="208" spans="1:12" ht="15" customHeight="1" x14ac:dyDescent="0.2">
      <c r="A208" s="636"/>
      <c r="B208" s="634"/>
      <c r="C208" s="634"/>
      <c r="D208" s="637"/>
      <c r="E208" s="27"/>
      <c r="F208" s="29"/>
      <c r="G208" s="633"/>
      <c r="H208" s="634"/>
      <c r="I208" s="634"/>
      <c r="J208" s="635"/>
      <c r="K208" s="1">
        <f t="shared" si="9"/>
        <v>6</v>
      </c>
      <c r="L208" s="1" t="str">
        <f t="shared" si="10"/>
        <v>Yes</v>
      </c>
    </row>
    <row r="209" spans="1:12" ht="15" customHeight="1" x14ac:dyDescent="0.2">
      <c r="A209" s="636"/>
      <c r="B209" s="634"/>
      <c r="C209" s="634"/>
      <c r="D209" s="637"/>
      <c r="E209" s="27"/>
      <c r="F209" s="29"/>
      <c r="G209" s="633"/>
      <c r="H209" s="634"/>
      <c r="I209" s="634"/>
      <c r="J209" s="635"/>
      <c r="K209" s="1">
        <f t="shared" si="9"/>
        <v>6</v>
      </c>
      <c r="L209" s="1" t="str">
        <f t="shared" si="10"/>
        <v>Yes</v>
      </c>
    </row>
    <row r="210" spans="1:12" ht="15" customHeight="1" x14ac:dyDescent="0.2">
      <c r="A210" s="636"/>
      <c r="B210" s="634"/>
      <c r="C210" s="634"/>
      <c r="D210" s="637"/>
      <c r="E210" s="27"/>
      <c r="F210" s="29"/>
      <c r="G210" s="633"/>
      <c r="H210" s="634"/>
      <c r="I210" s="634"/>
      <c r="J210" s="635"/>
      <c r="K210" s="1">
        <f t="shared" si="9"/>
        <v>6</v>
      </c>
      <c r="L210" s="1" t="str">
        <f t="shared" si="10"/>
        <v>Yes</v>
      </c>
    </row>
    <row r="211" spans="1:12" ht="15" customHeight="1" x14ac:dyDescent="0.2">
      <c r="A211" s="644" t="s">
        <v>99</v>
      </c>
      <c r="B211" s="645"/>
      <c r="C211" s="645"/>
      <c r="D211" s="645"/>
      <c r="E211" s="646"/>
      <c r="F211" s="647">
        <f>SUM(F186:F210)</f>
        <v>0</v>
      </c>
      <c r="G211" s="648"/>
      <c r="H211" s="648"/>
      <c r="I211" s="648"/>
      <c r="J211" s="649"/>
      <c r="L211" s="1">
        <f>COUNTIF(L186:L210,"Yes")</f>
        <v>25</v>
      </c>
    </row>
    <row r="212" spans="1:12" ht="15" customHeight="1" x14ac:dyDescent="0.2">
      <c r="A212" s="672"/>
      <c r="B212" s="673"/>
      <c r="C212" s="673"/>
      <c r="D212" s="673"/>
      <c r="E212" s="673"/>
      <c r="F212" s="673"/>
      <c r="G212" s="673"/>
      <c r="H212" s="673"/>
      <c r="I212" s="673"/>
      <c r="J212" s="674"/>
    </row>
    <row r="213" spans="1:12" ht="18" customHeight="1" x14ac:dyDescent="0.2">
      <c r="A213" s="650" t="s">
        <v>47</v>
      </c>
      <c r="B213" s="651"/>
      <c r="C213" s="651"/>
      <c r="D213" s="651"/>
      <c r="E213" s="651"/>
      <c r="F213" s="651"/>
      <c r="G213" s="651"/>
      <c r="H213" s="651"/>
      <c r="I213" s="651"/>
      <c r="J213" s="652"/>
    </row>
    <row r="214" spans="1:12" ht="18" customHeight="1" x14ac:dyDescent="0.2">
      <c r="A214" s="650" t="s">
        <v>481</v>
      </c>
      <c r="B214" s="651"/>
      <c r="C214" s="651"/>
      <c r="D214" s="651"/>
      <c r="E214" s="651"/>
      <c r="F214" s="651"/>
      <c r="G214" s="651"/>
      <c r="H214" s="651"/>
      <c r="I214" s="651"/>
      <c r="J214" s="652"/>
    </row>
    <row r="215" spans="1:12" ht="15" customHeight="1" x14ac:dyDescent="0.2">
      <c r="A215" s="653" t="s">
        <v>49</v>
      </c>
      <c r="B215" s="654"/>
      <c r="C215" s="654"/>
      <c r="D215" s="655"/>
      <c r="E215" s="662" t="s">
        <v>43</v>
      </c>
      <c r="F215" s="665" t="s">
        <v>104</v>
      </c>
      <c r="G215" s="666" t="s">
        <v>53</v>
      </c>
      <c r="H215" s="654"/>
      <c r="I215" s="654"/>
      <c r="J215" s="667"/>
    </row>
    <row r="216" spans="1:12" ht="15" customHeight="1" x14ac:dyDescent="0.2">
      <c r="A216" s="656"/>
      <c r="B216" s="657"/>
      <c r="C216" s="657"/>
      <c r="D216" s="658"/>
      <c r="E216" s="663"/>
      <c r="F216" s="663"/>
      <c r="G216" s="668"/>
      <c r="H216" s="657"/>
      <c r="I216" s="657"/>
      <c r="J216" s="669"/>
    </row>
    <row r="217" spans="1:12" ht="15" customHeight="1" x14ac:dyDescent="0.2">
      <c r="A217" s="656"/>
      <c r="B217" s="657"/>
      <c r="C217" s="657"/>
      <c r="D217" s="658"/>
      <c r="E217" s="663"/>
      <c r="F217" s="663"/>
      <c r="G217" s="668"/>
      <c r="H217" s="657"/>
      <c r="I217" s="657"/>
      <c r="J217" s="669"/>
    </row>
    <row r="218" spans="1:12" ht="15" customHeight="1" x14ac:dyDescent="0.2">
      <c r="A218" s="656"/>
      <c r="B218" s="657"/>
      <c r="C218" s="657"/>
      <c r="D218" s="658"/>
      <c r="E218" s="663"/>
      <c r="F218" s="663"/>
      <c r="G218" s="668"/>
      <c r="H218" s="657"/>
      <c r="I218" s="657"/>
      <c r="J218" s="669"/>
    </row>
    <row r="219" spans="1:12" ht="15" customHeight="1" x14ac:dyDescent="0.2">
      <c r="A219" s="656"/>
      <c r="B219" s="657"/>
      <c r="C219" s="657"/>
      <c r="D219" s="658"/>
      <c r="E219" s="663"/>
      <c r="F219" s="663"/>
      <c r="G219" s="668"/>
      <c r="H219" s="657"/>
      <c r="I219" s="657"/>
      <c r="J219" s="669"/>
    </row>
    <row r="220" spans="1:12" ht="14.25" customHeight="1" x14ac:dyDescent="0.2">
      <c r="A220" s="659"/>
      <c r="B220" s="660"/>
      <c r="C220" s="660"/>
      <c r="D220" s="661"/>
      <c r="E220" s="664"/>
      <c r="F220" s="664"/>
      <c r="G220" s="670"/>
      <c r="H220" s="660"/>
      <c r="I220" s="660"/>
      <c r="J220" s="671"/>
    </row>
    <row r="221" spans="1:12" ht="15" customHeight="1" x14ac:dyDescent="0.2">
      <c r="A221" s="636" t="s">
        <v>646</v>
      </c>
      <c r="B221" s="634"/>
      <c r="C221" s="634"/>
      <c r="D221" s="637"/>
      <c r="E221" s="27" t="s">
        <v>51</v>
      </c>
      <c r="F221" s="29">
        <v>7576.17</v>
      </c>
      <c r="G221" s="633" t="s">
        <v>650</v>
      </c>
      <c r="H221" s="634"/>
      <c r="I221" s="634"/>
      <c r="J221" s="635"/>
      <c r="K221" s="1">
        <f t="shared" ref="K221:K245" si="11">COUNTBLANK(E221:J221)</f>
        <v>3</v>
      </c>
      <c r="L221" s="1" t="str">
        <f>IF(AND(A221&lt;&gt;"",K221&gt;3),"No","Yes")</f>
        <v>Yes</v>
      </c>
    </row>
    <row r="222" spans="1:12" ht="15" customHeight="1" x14ac:dyDescent="0.2">
      <c r="A222" s="636"/>
      <c r="B222" s="634"/>
      <c r="C222" s="634"/>
      <c r="D222" s="637"/>
      <c r="E222" s="27"/>
      <c r="F222" s="29"/>
      <c r="G222" s="633"/>
      <c r="H222" s="634"/>
      <c r="I222" s="634"/>
      <c r="J222" s="635"/>
      <c r="K222" s="1">
        <f t="shared" si="11"/>
        <v>6</v>
      </c>
      <c r="L222" s="1" t="str">
        <f t="shared" ref="L222:L245" si="12">IF(AND(A222&lt;&gt;"",K222&gt;3),"No","Yes")</f>
        <v>Yes</v>
      </c>
    </row>
    <row r="223" spans="1:12" ht="15" customHeight="1" x14ac:dyDescent="0.2">
      <c r="A223" s="636"/>
      <c r="B223" s="634"/>
      <c r="C223" s="634"/>
      <c r="D223" s="637"/>
      <c r="E223" s="27"/>
      <c r="F223" s="29"/>
      <c r="G223" s="633"/>
      <c r="H223" s="634"/>
      <c r="I223" s="634"/>
      <c r="J223" s="635"/>
      <c r="K223" s="1">
        <f t="shared" si="11"/>
        <v>6</v>
      </c>
      <c r="L223" s="1" t="str">
        <f t="shared" si="12"/>
        <v>Yes</v>
      </c>
    </row>
    <row r="224" spans="1:12" ht="15" customHeight="1" x14ac:dyDescent="0.2">
      <c r="A224" s="636"/>
      <c r="B224" s="634"/>
      <c r="C224" s="634"/>
      <c r="D224" s="637"/>
      <c r="E224" s="27"/>
      <c r="F224" s="29"/>
      <c r="G224" s="633"/>
      <c r="H224" s="634"/>
      <c r="I224" s="634"/>
      <c r="J224" s="635"/>
      <c r="K224" s="1">
        <f t="shared" si="11"/>
        <v>6</v>
      </c>
      <c r="L224" s="1" t="str">
        <f t="shared" si="12"/>
        <v>Yes</v>
      </c>
    </row>
    <row r="225" spans="1:12" ht="15" customHeight="1" x14ac:dyDescent="0.2">
      <c r="A225" s="636"/>
      <c r="B225" s="634"/>
      <c r="C225" s="634"/>
      <c r="D225" s="637"/>
      <c r="E225" s="27"/>
      <c r="F225" s="29"/>
      <c r="G225" s="633"/>
      <c r="H225" s="634"/>
      <c r="I225" s="634"/>
      <c r="J225" s="635"/>
      <c r="K225" s="1">
        <f t="shared" si="11"/>
        <v>6</v>
      </c>
      <c r="L225" s="1" t="str">
        <f t="shared" si="12"/>
        <v>Yes</v>
      </c>
    </row>
    <row r="226" spans="1:12" ht="15" customHeight="1" x14ac:dyDescent="0.2">
      <c r="A226" s="636"/>
      <c r="B226" s="634"/>
      <c r="C226" s="634"/>
      <c r="D226" s="637"/>
      <c r="E226" s="27"/>
      <c r="F226" s="29"/>
      <c r="G226" s="633"/>
      <c r="H226" s="634"/>
      <c r="I226" s="634"/>
      <c r="J226" s="635"/>
      <c r="K226" s="1">
        <f t="shared" si="11"/>
        <v>6</v>
      </c>
      <c r="L226" s="1" t="str">
        <f t="shared" si="12"/>
        <v>Yes</v>
      </c>
    </row>
    <row r="227" spans="1:12" ht="15" customHeight="1" x14ac:dyDescent="0.2">
      <c r="A227" s="636"/>
      <c r="B227" s="634"/>
      <c r="C227" s="634"/>
      <c r="D227" s="637"/>
      <c r="E227" s="27"/>
      <c r="F227" s="29"/>
      <c r="G227" s="633"/>
      <c r="H227" s="634"/>
      <c r="I227" s="634"/>
      <c r="J227" s="635"/>
      <c r="K227" s="1">
        <f t="shared" si="11"/>
        <v>6</v>
      </c>
      <c r="L227" s="1" t="str">
        <f t="shared" si="12"/>
        <v>Yes</v>
      </c>
    </row>
    <row r="228" spans="1:12" ht="15" customHeight="1" x14ac:dyDescent="0.2">
      <c r="A228" s="636"/>
      <c r="B228" s="634"/>
      <c r="C228" s="634"/>
      <c r="D228" s="637"/>
      <c r="E228" s="27"/>
      <c r="F228" s="29"/>
      <c r="G228" s="633"/>
      <c r="H228" s="634"/>
      <c r="I228" s="634"/>
      <c r="J228" s="635"/>
      <c r="K228" s="1">
        <f t="shared" si="11"/>
        <v>6</v>
      </c>
      <c r="L228" s="1" t="str">
        <f t="shared" si="12"/>
        <v>Yes</v>
      </c>
    </row>
    <row r="229" spans="1:12" ht="15" customHeight="1" x14ac:dyDescent="0.2">
      <c r="A229" s="636"/>
      <c r="B229" s="634"/>
      <c r="C229" s="634"/>
      <c r="D229" s="637"/>
      <c r="E229" s="27"/>
      <c r="F229" s="29"/>
      <c r="G229" s="633"/>
      <c r="H229" s="634"/>
      <c r="I229" s="634"/>
      <c r="J229" s="635"/>
      <c r="K229" s="1">
        <f t="shared" si="11"/>
        <v>6</v>
      </c>
      <c r="L229" s="1" t="str">
        <f t="shared" si="12"/>
        <v>Yes</v>
      </c>
    </row>
    <row r="230" spans="1:12" ht="15" customHeight="1" x14ac:dyDescent="0.2">
      <c r="A230" s="636"/>
      <c r="B230" s="634"/>
      <c r="C230" s="634"/>
      <c r="D230" s="637"/>
      <c r="E230" s="27"/>
      <c r="F230" s="29"/>
      <c r="G230" s="633"/>
      <c r="H230" s="634"/>
      <c r="I230" s="634"/>
      <c r="J230" s="635"/>
      <c r="K230" s="1">
        <f t="shared" si="11"/>
        <v>6</v>
      </c>
      <c r="L230" s="1" t="str">
        <f t="shared" si="12"/>
        <v>Yes</v>
      </c>
    </row>
    <row r="231" spans="1:12" ht="15" customHeight="1" x14ac:dyDescent="0.2">
      <c r="A231" s="636"/>
      <c r="B231" s="634"/>
      <c r="C231" s="634"/>
      <c r="D231" s="637"/>
      <c r="E231" s="27"/>
      <c r="F231" s="29"/>
      <c r="G231" s="633"/>
      <c r="H231" s="634"/>
      <c r="I231" s="634"/>
      <c r="J231" s="635"/>
      <c r="K231" s="1">
        <f t="shared" si="11"/>
        <v>6</v>
      </c>
      <c r="L231" s="1" t="str">
        <f t="shared" si="12"/>
        <v>Yes</v>
      </c>
    </row>
    <row r="232" spans="1:12" ht="15" customHeight="1" x14ac:dyDescent="0.2">
      <c r="A232" s="636"/>
      <c r="B232" s="634"/>
      <c r="C232" s="634"/>
      <c r="D232" s="637"/>
      <c r="E232" s="27"/>
      <c r="F232" s="29"/>
      <c r="G232" s="633"/>
      <c r="H232" s="634"/>
      <c r="I232" s="634"/>
      <c r="J232" s="635"/>
      <c r="K232" s="1">
        <f t="shared" si="11"/>
        <v>6</v>
      </c>
      <c r="L232" s="1" t="str">
        <f t="shared" si="12"/>
        <v>Yes</v>
      </c>
    </row>
    <row r="233" spans="1:12" ht="15" customHeight="1" x14ac:dyDescent="0.2">
      <c r="A233" s="636"/>
      <c r="B233" s="634"/>
      <c r="C233" s="634"/>
      <c r="D233" s="637"/>
      <c r="E233" s="27"/>
      <c r="F233" s="29"/>
      <c r="G233" s="633"/>
      <c r="H233" s="634"/>
      <c r="I233" s="634"/>
      <c r="J233" s="635"/>
      <c r="K233" s="1">
        <f t="shared" si="11"/>
        <v>6</v>
      </c>
      <c r="L233" s="1" t="str">
        <f t="shared" si="12"/>
        <v>Yes</v>
      </c>
    </row>
    <row r="234" spans="1:12" ht="15" customHeight="1" x14ac:dyDescent="0.2">
      <c r="A234" s="636"/>
      <c r="B234" s="634"/>
      <c r="C234" s="634"/>
      <c r="D234" s="637"/>
      <c r="E234" s="27"/>
      <c r="F234" s="29"/>
      <c r="G234" s="633"/>
      <c r="H234" s="634"/>
      <c r="I234" s="634"/>
      <c r="J234" s="635"/>
      <c r="K234" s="1">
        <f t="shared" si="11"/>
        <v>6</v>
      </c>
      <c r="L234" s="1" t="str">
        <f t="shared" si="12"/>
        <v>Yes</v>
      </c>
    </row>
    <row r="235" spans="1:12" ht="15" customHeight="1" x14ac:dyDescent="0.2">
      <c r="A235" s="636"/>
      <c r="B235" s="634"/>
      <c r="C235" s="634"/>
      <c r="D235" s="637"/>
      <c r="E235" s="27"/>
      <c r="F235" s="29"/>
      <c r="G235" s="633"/>
      <c r="H235" s="634"/>
      <c r="I235" s="634"/>
      <c r="J235" s="635"/>
      <c r="K235" s="1">
        <f t="shared" si="11"/>
        <v>6</v>
      </c>
      <c r="L235" s="1" t="str">
        <f t="shared" si="12"/>
        <v>Yes</v>
      </c>
    </row>
    <row r="236" spans="1:12" ht="15" customHeight="1" x14ac:dyDescent="0.2">
      <c r="A236" s="636"/>
      <c r="B236" s="634"/>
      <c r="C236" s="634"/>
      <c r="D236" s="637"/>
      <c r="E236" s="27"/>
      <c r="F236" s="29"/>
      <c r="G236" s="633"/>
      <c r="H236" s="634"/>
      <c r="I236" s="634"/>
      <c r="J236" s="635"/>
      <c r="K236" s="1">
        <f t="shared" si="11"/>
        <v>6</v>
      </c>
      <c r="L236" s="1" t="str">
        <f t="shared" si="12"/>
        <v>Yes</v>
      </c>
    </row>
    <row r="237" spans="1:12" ht="15" customHeight="1" x14ac:dyDescent="0.2">
      <c r="A237" s="636"/>
      <c r="B237" s="634"/>
      <c r="C237" s="634"/>
      <c r="D237" s="637"/>
      <c r="E237" s="27"/>
      <c r="F237" s="29"/>
      <c r="G237" s="633"/>
      <c r="H237" s="634"/>
      <c r="I237" s="634"/>
      <c r="J237" s="635"/>
      <c r="K237" s="1">
        <f t="shared" si="11"/>
        <v>6</v>
      </c>
      <c r="L237" s="1" t="str">
        <f t="shared" si="12"/>
        <v>Yes</v>
      </c>
    </row>
    <row r="238" spans="1:12" ht="15" customHeight="1" x14ac:dyDescent="0.2">
      <c r="A238" s="636"/>
      <c r="B238" s="634"/>
      <c r="C238" s="634"/>
      <c r="D238" s="637"/>
      <c r="E238" s="27"/>
      <c r="F238" s="29"/>
      <c r="G238" s="633"/>
      <c r="H238" s="634"/>
      <c r="I238" s="634"/>
      <c r="J238" s="635"/>
      <c r="K238" s="1">
        <f t="shared" si="11"/>
        <v>6</v>
      </c>
      <c r="L238" s="1" t="str">
        <f t="shared" si="12"/>
        <v>Yes</v>
      </c>
    </row>
    <row r="239" spans="1:12" ht="15" customHeight="1" x14ac:dyDescent="0.2">
      <c r="A239" s="636"/>
      <c r="B239" s="634"/>
      <c r="C239" s="634"/>
      <c r="D239" s="637"/>
      <c r="E239" s="27"/>
      <c r="F239" s="29"/>
      <c r="G239" s="633"/>
      <c r="H239" s="634"/>
      <c r="I239" s="634"/>
      <c r="J239" s="635"/>
      <c r="K239" s="1">
        <f t="shared" si="11"/>
        <v>6</v>
      </c>
      <c r="L239" s="1" t="str">
        <f t="shared" si="12"/>
        <v>Yes</v>
      </c>
    </row>
    <row r="240" spans="1:12" ht="15" customHeight="1" x14ac:dyDescent="0.2">
      <c r="A240" s="636"/>
      <c r="B240" s="634"/>
      <c r="C240" s="634"/>
      <c r="D240" s="637"/>
      <c r="E240" s="27"/>
      <c r="F240" s="29"/>
      <c r="G240" s="633"/>
      <c r="H240" s="634"/>
      <c r="I240" s="634"/>
      <c r="J240" s="635"/>
      <c r="K240" s="1">
        <f t="shared" si="11"/>
        <v>6</v>
      </c>
      <c r="L240" s="1" t="str">
        <f t="shared" si="12"/>
        <v>Yes</v>
      </c>
    </row>
    <row r="241" spans="1:12" ht="15" customHeight="1" x14ac:dyDescent="0.2">
      <c r="A241" s="636"/>
      <c r="B241" s="634"/>
      <c r="C241" s="634"/>
      <c r="D241" s="637"/>
      <c r="E241" s="27"/>
      <c r="F241" s="29"/>
      <c r="G241" s="633"/>
      <c r="H241" s="634"/>
      <c r="I241" s="634"/>
      <c r="J241" s="635"/>
      <c r="K241" s="1">
        <f t="shared" si="11"/>
        <v>6</v>
      </c>
      <c r="L241" s="1" t="str">
        <f t="shared" si="12"/>
        <v>Yes</v>
      </c>
    </row>
    <row r="242" spans="1:12" ht="15" customHeight="1" x14ac:dyDescent="0.2">
      <c r="A242" s="636"/>
      <c r="B242" s="634"/>
      <c r="C242" s="634"/>
      <c r="D242" s="637"/>
      <c r="E242" s="27"/>
      <c r="F242" s="29"/>
      <c r="G242" s="633"/>
      <c r="H242" s="634"/>
      <c r="I242" s="634"/>
      <c r="J242" s="635"/>
      <c r="K242" s="1">
        <f t="shared" si="11"/>
        <v>6</v>
      </c>
      <c r="L242" s="1" t="str">
        <f t="shared" si="12"/>
        <v>Yes</v>
      </c>
    </row>
    <row r="243" spans="1:12" ht="15" customHeight="1" x14ac:dyDescent="0.2">
      <c r="A243" s="636"/>
      <c r="B243" s="634"/>
      <c r="C243" s="634"/>
      <c r="D243" s="637"/>
      <c r="E243" s="27"/>
      <c r="F243" s="29"/>
      <c r="G243" s="633"/>
      <c r="H243" s="634"/>
      <c r="I243" s="634"/>
      <c r="J243" s="635"/>
      <c r="K243" s="1">
        <f t="shared" si="11"/>
        <v>6</v>
      </c>
      <c r="L243" s="1" t="str">
        <f t="shared" si="12"/>
        <v>Yes</v>
      </c>
    </row>
    <row r="244" spans="1:12" ht="15" customHeight="1" x14ac:dyDescent="0.2">
      <c r="A244" s="636"/>
      <c r="B244" s="634"/>
      <c r="C244" s="634"/>
      <c r="D244" s="637"/>
      <c r="E244" s="27"/>
      <c r="F244" s="29"/>
      <c r="G244" s="633"/>
      <c r="H244" s="634"/>
      <c r="I244" s="634"/>
      <c r="J244" s="635"/>
      <c r="K244" s="1">
        <f t="shared" si="11"/>
        <v>6</v>
      </c>
      <c r="L244" s="1" t="str">
        <f t="shared" si="12"/>
        <v>Yes</v>
      </c>
    </row>
    <row r="245" spans="1:12" ht="15" customHeight="1" x14ac:dyDescent="0.2">
      <c r="A245" s="636"/>
      <c r="B245" s="634"/>
      <c r="C245" s="634"/>
      <c r="D245" s="637"/>
      <c r="E245" s="27"/>
      <c r="F245" s="29"/>
      <c r="G245" s="633"/>
      <c r="H245" s="634"/>
      <c r="I245" s="634"/>
      <c r="J245" s="635"/>
      <c r="K245" s="1">
        <f t="shared" si="11"/>
        <v>6</v>
      </c>
      <c r="L245" s="1" t="str">
        <f t="shared" si="12"/>
        <v>Yes</v>
      </c>
    </row>
    <row r="246" spans="1:12" ht="15" customHeight="1" thickBot="1" x14ac:dyDescent="0.25">
      <c r="A246" s="638" t="s">
        <v>100</v>
      </c>
      <c r="B246" s="639"/>
      <c r="C246" s="639"/>
      <c r="D246" s="639"/>
      <c r="E246" s="640"/>
      <c r="F246" s="641">
        <f>SUM(F221:F245)</f>
        <v>7576.17</v>
      </c>
      <c r="G246" s="642"/>
      <c r="H246" s="642"/>
      <c r="I246" s="642"/>
      <c r="J246" s="643"/>
      <c r="L246" s="1">
        <f>COUNTIF(L221:L245,"Yes")</f>
        <v>25</v>
      </c>
    </row>
    <row r="247" spans="1:12" ht="13.5" thickTop="1" x14ac:dyDescent="0.2"/>
  </sheetData>
  <sheetProtection password="E686" sheet="1" objects="1" scenarios="1" formatRows="0"/>
  <mergeCells count="394">
    <mergeCell ref="A12:B12"/>
    <mergeCell ref="A13:B13"/>
    <mergeCell ref="A14:B14"/>
    <mergeCell ref="A15:B15"/>
    <mergeCell ref="A16:B16"/>
    <mergeCell ref="A86:D86"/>
    <mergeCell ref="A87:D87"/>
    <mergeCell ref="A88:D88"/>
    <mergeCell ref="A66:B66"/>
    <mergeCell ref="A61:B61"/>
    <mergeCell ref="A56:B56"/>
    <mergeCell ref="A51:B51"/>
    <mergeCell ref="A35:B35"/>
    <mergeCell ref="A17:B17"/>
    <mergeCell ref="A18:B18"/>
    <mergeCell ref="G88:J88"/>
    <mergeCell ref="A96:D96"/>
    <mergeCell ref="G102:J102"/>
    <mergeCell ref="G103:J103"/>
    <mergeCell ref="A103:D103"/>
    <mergeCell ref="G94:J94"/>
    <mergeCell ref="A98:D98"/>
    <mergeCell ref="A99:D99"/>
    <mergeCell ref="G95:J95"/>
    <mergeCell ref="A95:D95"/>
    <mergeCell ref="G99:J99"/>
    <mergeCell ref="G100:J100"/>
    <mergeCell ref="G98:J98"/>
    <mergeCell ref="G96:J96"/>
    <mergeCell ref="G97:J97"/>
    <mergeCell ref="A100:D100"/>
    <mergeCell ref="G101:J101"/>
    <mergeCell ref="G120:J120"/>
    <mergeCell ref="A121:D121"/>
    <mergeCell ref="G121:J121"/>
    <mergeCell ref="A107:J107"/>
    <mergeCell ref="A108:J108"/>
    <mergeCell ref="A92:D92"/>
    <mergeCell ref="A93:D93"/>
    <mergeCell ref="A94:D94"/>
    <mergeCell ref="A91:D91"/>
    <mergeCell ref="A105:D105"/>
    <mergeCell ref="G105:J105"/>
    <mergeCell ref="A124:D124"/>
    <mergeCell ref="G124:J124"/>
    <mergeCell ref="A125:D125"/>
    <mergeCell ref="G125:J125"/>
    <mergeCell ref="G126:J126"/>
    <mergeCell ref="A127:D127"/>
    <mergeCell ref="G127:J127"/>
    <mergeCell ref="A101:D101"/>
    <mergeCell ref="G118:J118"/>
    <mergeCell ref="A119:D119"/>
    <mergeCell ref="G119:J119"/>
    <mergeCell ref="A120:D120"/>
    <mergeCell ref="G104:J104"/>
    <mergeCell ref="G122:J122"/>
    <mergeCell ref="A123:D123"/>
    <mergeCell ref="G123:J123"/>
    <mergeCell ref="A122:D122"/>
    <mergeCell ref="A126:D126"/>
    <mergeCell ref="F106:J106"/>
    <mergeCell ref="A117:D117"/>
    <mergeCell ref="G117:J117"/>
    <mergeCell ref="A116:D116"/>
    <mergeCell ref="G116:J116"/>
    <mergeCell ref="A118:D118"/>
    <mergeCell ref="G82:J82"/>
    <mergeCell ref="E110:E115"/>
    <mergeCell ref="A109:J109"/>
    <mergeCell ref="A110:D115"/>
    <mergeCell ref="F110:F115"/>
    <mergeCell ref="G110:J115"/>
    <mergeCell ref="G91:J91"/>
    <mergeCell ref="G86:J86"/>
    <mergeCell ref="G87:J87"/>
    <mergeCell ref="G89:J89"/>
    <mergeCell ref="G90:J90"/>
    <mergeCell ref="G83:J83"/>
    <mergeCell ref="G84:J84"/>
    <mergeCell ref="G85:J85"/>
    <mergeCell ref="G92:J92"/>
    <mergeCell ref="G93:J93"/>
    <mergeCell ref="A84:D84"/>
    <mergeCell ref="A85:D85"/>
    <mergeCell ref="A89:D89"/>
    <mergeCell ref="A90:D90"/>
    <mergeCell ref="A97:D97"/>
    <mergeCell ref="A106:E106"/>
    <mergeCell ref="A104:D104"/>
    <mergeCell ref="A102:D102"/>
    <mergeCell ref="G66:J66"/>
    <mergeCell ref="G75:J80"/>
    <mergeCell ref="G81:J81"/>
    <mergeCell ref="A67:B67"/>
    <mergeCell ref="G67:J67"/>
    <mergeCell ref="A68:B68"/>
    <mergeCell ref="G68:J68"/>
    <mergeCell ref="A69:B69"/>
    <mergeCell ref="G69:J69"/>
    <mergeCell ref="A70:B70"/>
    <mergeCell ref="G70:J70"/>
    <mergeCell ref="A71:D71"/>
    <mergeCell ref="F71:I71"/>
    <mergeCell ref="A72:J72"/>
    <mergeCell ref="A73:J73"/>
    <mergeCell ref="A74:J74"/>
    <mergeCell ref="F75:F80"/>
    <mergeCell ref="E75:E80"/>
    <mergeCell ref="G61:J61"/>
    <mergeCell ref="A62:B62"/>
    <mergeCell ref="G62:J62"/>
    <mergeCell ref="A63:B63"/>
    <mergeCell ref="G63:J63"/>
    <mergeCell ref="A64:B64"/>
    <mergeCell ref="G64:J64"/>
    <mergeCell ref="A65:B65"/>
    <mergeCell ref="G65:J65"/>
    <mergeCell ref="G56:J56"/>
    <mergeCell ref="A57:B57"/>
    <mergeCell ref="G57:J57"/>
    <mergeCell ref="A58:B58"/>
    <mergeCell ref="G58:J58"/>
    <mergeCell ref="A59:B59"/>
    <mergeCell ref="G59:J59"/>
    <mergeCell ref="A60:B60"/>
    <mergeCell ref="G60:J60"/>
    <mergeCell ref="G51:J51"/>
    <mergeCell ref="A52:B52"/>
    <mergeCell ref="G52:J52"/>
    <mergeCell ref="A53:B53"/>
    <mergeCell ref="G53:J53"/>
    <mergeCell ref="A54:B54"/>
    <mergeCell ref="G54:J54"/>
    <mergeCell ref="A55:B55"/>
    <mergeCell ref="G55:J55"/>
    <mergeCell ref="A1:J2"/>
    <mergeCell ref="A3:J4"/>
    <mergeCell ref="A75:D80"/>
    <mergeCell ref="A81:D81"/>
    <mergeCell ref="A82:D82"/>
    <mergeCell ref="A83:D83"/>
    <mergeCell ref="A5:J6"/>
    <mergeCell ref="A7:B10"/>
    <mergeCell ref="C7:C10"/>
    <mergeCell ref="D7:D10"/>
    <mergeCell ref="E7:E10"/>
    <mergeCell ref="F7:F10"/>
    <mergeCell ref="G7:J10"/>
    <mergeCell ref="A11:B11"/>
    <mergeCell ref="G11:J11"/>
    <mergeCell ref="A48:B48"/>
    <mergeCell ref="G48:J48"/>
    <mergeCell ref="A27:B27"/>
    <mergeCell ref="G27:J27"/>
    <mergeCell ref="A28:B28"/>
    <mergeCell ref="A49:B49"/>
    <mergeCell ref="G49:J49"/>
    <mergeCell ref="A50:B50"/>
    <mergeCell ref="G50:J50"/>
    <mergeCell ref="A133:D133"/>
    <mergeCell ref="G133:J133"/>
    <mergeCell ref="A134:D134"/>
    <mergeCell ref="G134:J134"/>
    <mergeCell ref="A128:D128"/>
    <mergeCell ref="G128:J128"/>
    <mergeCell ref="A129:D129"/>
    <mergeCell ref="G129:J129"/>
    <mergeCell ref="G130:J130"/>
    <mergeCell ref="A131:D131"/>
    <mergeCell ref="G131:J131"/>
    <mergeCell ref="A130:D130"/>
    <mergeCell ref="A132:D132"/>
    <mergeCell ref="G132:J132"/>
    <mergeCell ref="A138:D138"/>
    <mergeCell ref="G138:J138"/>
    <mergeCell ref="A139:D139"/>
    <mergeCell ref="G139:J139"/>
    <mergeCell ref="A140:D140"/>
    <mergeCell ref="G140:J140"/>
    <mergeCell ref="A135:D135"/>
    <mergeCell ref="G135:J135"/>
    <mergeCell ref="A136:D136"/>
    <mergeCell ref="G136:J136"/>
    <mergeCell ref="A137:D137"/>
    <mergeCell ref="G137:J137"/>
    <mergeCell ref="A154:D154"/>
    <mergeCell ref="G154:J154"/>
    <mergeCell ref="A155:D155"/>
    <mergeCell ref="G155:J155"/>
    <mergeCell ref="A156:D156"/>
    <mergeCell ref="G156:J156"/>
    <mergeCell ref="A141:E141"/>
    <mergeCell ref="F141:J141"/>
    <mergeCell ref="G145:J150"/>
    <mergeCell ref="A151:D151"/>
    <mergeCell ref="G151:J151"/>
    <mergeCell ref="A152:D152"/>
    <mergeCell ref="G152:J152"/>
    <mergeCell ref="E145:E150"/>
    <mergeCell ref="F145:F150"/>
    <mergeCell ref="A145:D150"/>
    <mergeCell ref="A142:J142"/>
    <mergeCell ref="A143:J143"/>
    <mergeCell ref="A144:J144"/>
    <mergeCell ref="A153:D153"/>
    <mergeCell ref="G153:J153"/>
    <mergeCell ref="A160:D160"/>
    <mergeCell ref="G160:J160"/>
    <mergeCell ref="A161:D161"/>
    <mergeCell ref="G161:J161"/>
    <mergeCell ref="A162:D162"/>
    <mergeCell ref="G162:J162"/>
    <mergeCell ref="A157:D157"/>
    <mergeCell ref="G157:J157"/>
    <mergeCell ref="A158:D158"/>
    <mergeCell ref="G158:J158"/>
    <mergeCell ref="A159:D159"/>
    <mergeCell ref="G159:J159"/>
    <mergeCell ref="A166:D166"/>
    <mergeCell ref="G166:J166"/>
    <mergeCell ref="A167:D167"/>
    <mergeCell ref="G167:J167"/>
    <mergeCell ref="A168:D168"/>
    <mergeCell ref="G168:J168"/>
    <mergeCell ref="A163:D163"/>
    <mergeCell ref="G163:J163"/>
    <mergeCell ref="A164:D164"/>
    <mergeCell ref="G164:J164"/>
    <mergeCell ref="A165:D165"/>
    <mergeCell ref="G165:J165"/>
    <mergeCell ref="A172:D172"/>
    <mergeCell ref="G172:J172"/>
    <mergeCell ref="A173:D173"/>
    <mergeCell ref="G173:J173"/>
    <mergeCell ref="A174:D174"/>
    <mergeCell ref="G174:J174"/>
    <mergeCell ref="A169:D169"/>
    <mergeCell ref="G169:J169"/>
    <mergeCell ref="A170:D170"/>
    <mergeCell ref="G170:J170"/>
    <mergeCell ref="A171:D171"/>
    <mergeCell ref="G171:J171"/>
    <mergeCell ref="A175:D175"/>
    <mergeCell ref="G175:J175"/>
    <mergeCell ref="A176:E176"/>
    <mergeCell ref="F176:J176"/>
    <mergeCell ref="A179:J179"/>
    <mergeCell ref="A180:D185"/>
    <mergeCell ref="E180:E185"/>
    <mergeCell ref="F180:F185"/>
    <mergeCell ref="G180:J185"/>
    <mergeCell ref="A178:J178"/>
    <mergeCell ref="A177:J177"/>
    <mergeCell ref="A189:D189"/>
    <mergeCell ref="G189:J189"/>
    <mergeCell ref="A190:D190"/>
    <mergeCell ref="G190:J190"/>
    <mergeCell ref="A191:D191"/>
    <mergeCell ref="G191:J191"/>
    <mergeCell ref="A186:D186"/>
    <mergeCell ref="G186:J186"/>
    <mergeCell ref="A187:D187"/>
    <mergeCell ref="G187:J187"/>
    <mergeCell ref="A188:D188"/>
    <mergeCell ref="G188:J188"/>
    <mergeCell ref="A195:D195"/>
    <mergeCell ref="G195:J195"/>
    <mergeCell ref="A196:D196"/>
    <mergeCell ref="G196:J196"/>
    <mergeCell ref="A197:D197"/>
    <mergeCell ref="G197:J197"/>
    <mergeCell ref="A192:D192"/>
    <mergeCell ref="G192:J192"/>
    <mergeCell ref="A193:D193"/>
    <mergeCell ref="G193:J193"/>
    <mergeCell ref="A194:D194"/>
    <mergeCell ref="G194:J194"/>
    <mergeCell ref="A201:D201"/>
    <mergeCell ref="G201:J201"/>
    <mergeCell ref="A202:D202"/>
    <mergeCell ref="G202:J202"/>
    <mergeCell ref="A203:D203"/>
    <mergeCell ref="G203:J203"/>
    <mergeCell ref="A198:D198"/>
    <mergeCell ref="G198:J198"/>
    <mergeCell ref="A199:D199"/>
    <mergeCell ref="G199:J199"/>
    <mergeCell ref="A200:D200"/>
    <mergeCell ref="G200:J200"/>
    <mergeCell ref="A207:D207"/>
    <mergeCell ref="G207:J207"/>
    <mergeCell ref="A208:D208"/>
    <mergeCell ref="G208:J208"/>
    <mergeCell ref="A209:D209"/>
    <mergeCell ref="G209:J209"/>
    <mergeCell ref="A204:D204"/>
    <mergeCell ref="G204:J204"/>
    <mergeCell ref="A205:D205"/>
    <mergeCell ref="G205:J205"/>
    <mergeCell ref="A206:D206"/>
    <mergeCell ref="G206:J206"/>
    <mergeCell ref="A223:D223"/>
    <mergeCell ref="G223:J223"/>
    <mergeCell ref="A224:D224"/>
    <mergeCell ref="G224:J224"/>
    <mergeCell ref="A225:D225"/>
    <mergeCell ref="G225:J225"/>
    <mergeCell ref="A210:D210"/>
    <mergeCell ref="G210:J210"/>
    <mergeCell ref="A211:E211"/>
    <mergeCell ref="F211:J211"/>
    <mergeCell ref="A214:J214"/>
    <mergeCell ref="A215:D220"/>
    <mergeCell ref="E215:E220"/>
    <mergeCell ref="F215:F220"/>
    <mergeCell ref="G215:J220"/>
    <mergeCell ref="A212:J212"/>
    <mergeCell ref="A221:D221"/>
    <mergeCell ref="G221:J221"/>
    <mergeCell ref="A222:D222"/>
    <mergeCell ref="G222:J222"/>
    <mergeCell ref="A213:J213"/>
    <mergeCell ref="A229:D229"/>
    <mergeCell ref="G229:J229"/>
    <mergeCell ref="A230:D230"/>
    <mergeCell ref="G230:J230"/>
    <mergeCell ref="A231:D231"/>
    <mergeCell ref="G231:J231"/>
    <mergeCell ref="A226:D226"/>
    <mergeCell ref="G226:J226"/>
    <mergeCell ref="A227:D227"/>
    <mergeCell ref="G227:J227"/>
    <mergeCell ref="A228:D228"/>
    <mergeCell ref="G228:J228"/>
    <mergeCell ref="G236:J236"/>
    <mergeCell ref="A237:D237"/>
    <mergeCell ref="G237:J237"/>
    <mergeCell ref="A232:D232"/>
    <mergeCell ref="G232:J232"/>
    <mergeCell ref="A233:D233"/>
    <mergeCell ref="G233:J233"/>
    <mergeCell ref="A234:D234"/>
    <mergeCell ref="G234:J234"/>
    <mergeCell ref="G24:J24"/>
    <mergeCell ref="G25:J25"/>
    <mergeCell ref="G26:J26"/>
    <mergeCell ref="A244:D244"/>
    <mergeCell ref="G244:J244"/>
    <mergeCell ref="A245:D245"/>
    <mergeCell ref="G245:J245"/>
    <mergeCell ref="A246:E246"/>
    <mergeCell ref="F246:J246"/>
    <mergeCell ref="A241:D241"/>
    <mergeCell ref="G241:J241"/>
    <mergeCell ref="A242:D242"/>
    <mergeCell ref="G242:J242"/>
    <mergeCell ref="A243:D243"/>
    <mergeCell ref="G243:J243"/>
    <mergeCell ref="A238:D238"/>
    <mergeCell ref="G238:J238"/>
    <mergeCell ref="A239:D239"/>
    <mergeCell ref="G239:J239"/>
    <mergeCell ref="A240:D240"/>
    <mergeCell ref="G240:J240"/>
    <mergeCell ref="A235:D235"/>
    <mergeCell ref="G235:J235"/>
    <mergeCell ref="A236:D236"/>
    <mergeCell ref="G35:J35"/>
    <mergeCell ref="A32:B32"/>
    <mergeCell ref="G32:J32"/>
    <mergeCell ref="A33:B33"/>
    <mergeCell ref="G33:J33"/>
    <mergeCell ref="A34:B34"/>
    <mergeCell ref="G34:J34"/>
    <mergeCell ref="G28:J28"/>
    <mergeCell ref="A29:B29"/>
    <mergeCell ref="G29:J29"/>
    <mergeCell ref="A30:B30"/>
    <mergeCell ref="G30:J30"/>
    <mergeCell ref="A31:B31"/>
    <mergeCell ref="G31:J31"/>
    <mergeCell ref="G18:J18"/>
    <mergeCell ref="G19:J19"/>
    <mergeCell ref="G20:J20"/>
    <mergeCell ref="G21:J21"/>
    <mergeCell ref="G22:J22"/>
    <mergeCell ref="G23:J23"/>
    <mergeCell ref="G12:J12"/>
    <mergeCell ref="G13:J13"/>
    <mergeCell ref="G14:J14"/>
    <mergeCell ref="G15:J15"/>
    <mergeCell ref="G16:J16"/>
    <mergeCell ref="G17:J17"/>
  </mergeCells>
  <dataValidations xWindow="1207" yWindow="588" count="5">
    <dataValidation type="list" allowBlank="1" showInputMessage="1" showErrorMessage="1" sqref="E186:E210 D19:D70 D11:D17 E116:E140 E81:E105 E151:E175 E221:E245">
      <formula1>program</formula1>
    </dataValidation>
    <dataValidation allowBlank="1" showErrorMessage="1" sqref="F81:F105 F221:F245 F186:F210 F151:F175 F116:F140"/>
    <dataValidation allowBlank="1" showInputMessage="1" showErrorMessage="1" promptTitle="% of FTE" prompt="Input a percentage or decimal showing the portion of this individual's total salary and benefits to be paid from these funds." sqref="E11:E17 E19:E70"/>
    <dataValidation allowBlank="1" showInputMessage="1" showErrorMessage="1" promptTitle="Total Amount" prompt="Input the total amount of these funds being used to fund this individual's salary and benefits." sqref="F11:F17 F19:F70"/>
    <dataValidation type="textLength" operator="lessThan" allowBlank="1" showInputMessage="1" showErrorMessage="1" errorTitle="Too Much Text" error="Provide a brief description using no more than 100 characters here.  A more full description should be included on the summary worksheet (tab 5)." sqref="G11:J70 G221:J245 G186:J210 G151:J175 G116:J140 G81:J105">
      <formula1>101</formula1>
    </dataValidation>
  </dataValidations>
  <pageMargins left="0.75" right="0.75" top="1" bottom="1" header="0.5" footer="0.5"/>
  <pageSetup scale="83" fitToWidth="0" fitToHeight="0" orientation="landscape" r:id="rId1"/>
  <headerFooter alignWithMargins="0">
    <oddHeader>&amp;LFFY 2012 Consolidated Application: Consolidated SWP: Detailed Expenditures
&amp;C&amp;A&amp;R&amp;P of &amp;N</oddHeader>
  </headerFooter>
  <rowBreaks count="4" manualBreakCount="4">
    <brk id="36" max="9" man="1"/>
    <brk id="72" max="9" man="1"/>
    <brk id="107" max="9" man="1"/>
    <brk id="142"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1"/>
  <sheetViews>
    <sheetView topLeftCell="D25" zoomScaleNormal="100" workbookViewId="0">
      <selection activeCell="D9" sqref="D9:D20"/>
    </sheetView>
  </sheetViews>
  <sheetFormatPr defaultColWidth="9.140625" defaultRowHeight="12.75" x14ac:dyDescent="0.2"/>
  <cols>
    <col min="1" max="10" width="15.7109375" style="2" customWidth="1"/>
    <col min="11" max="11" width="15.7109375" style="1" customWidth="1"/>
    <col min="12" max="16384" width="9.140625" style="2"/>
  </cols>
  <sheetData>
    <row r="1" spans="1:11" ht="13.5" customHeight="1" thickTop="1" x14ac:dyDescent="0.2">
      <c r="A1" s="725" t="s">
        <v>101</v>
      </c>
      <c r="B1" s="726"/>
      <c r="C1" s="726"/>
      <c r="D1" s="730" t="s">
        <v>56</v>
      </c>
      <c r="E1" s="731"/>
      <c r="F1" s="731"/>
      <c r="G1" s="731"/>
      <c r="H1" s="731"/>
      <c r="I1" s="731"/>
      <c r="J1" s="731"/>
      <c r="K1" s="700" t="str">
        <f>IF(J45='3'!F22,"Your budget is now complete.","The total amount for which you have budgeted does not match the total amount of funds from all sources being consolidated in the LEA's consolidated schoolwide program pool of funds.")</f>
        <v>Your budget is now complete.</v>
      </c>
    </row>
    <row r="2" spans="1:11" ht="12.75" customHeight="1" x14ac:dyDescent="0.2">
      <c r="A2" s="727"/>
      <c r="B2" s="728"/>
      <c r="C2" s="728"/>
      <c r="D2" s="732"/>
      <c r="E2" s="733"/>
      <c r="F2" s="733"/>
      <c r="G2" s="733"/>
      <c r="H2" s="733"/>
      <c r="I2" s="733"/>
      <c r="J2" s="733"/>
      <c r="K2" s="701"/>
    </row>
    <row r="3" spans="1:11" ht="12.75" customHeight="1" x14ac:dyDescent="0.2">
      <c r="A3" s="727"/>
      <c r="B3" s="728"/>
      <c r="C3" s="728"/>
      <c r="D3" s="732"/>
      <c r="E3" s="733"/>
      <c r="F3" s="733"/>
      <c r="G3" s="733"/>
      <c r="H3" s="733"/>
      <c r="I3" s="733"/>
      <c r="J3" s="733"/>
      <c r="K3" s="701"/>
    </row>
    <row r="4" spans="1:11" ht="13.5" customHeight="1" thickBot="1" x14ac:dyDescent="0.25">
      <c r="A4" s="727"/>
      <c r="B4" s="728"/>
      <c r="C4" s="728"/>
      <c r="D4" s="734"/>
      <c r="E4" s="735"/>
      <c r="F4" s="735"/>
      <c r="G4" s="735"/>
      <c r="H4" s="735"/>
      <c r="I4" s="735"/>
      <c r="J4" s="735"/>
      <c r="K4" s="701"/>
    </row>
    <row r="5" spans="1:11" ht="12.75" customHeight="1" x14ac:dyDescent="0.2">
      <c r="A5" s="727"/>
      <c r="B5" s="728"/>
      <c r="C5" s="728"/>
      <c r="D5" s="703" t="s">
        <v>57</v>
      </c>
      <c r="E5" s="703" t="s">
        <v>58</v>
      </c>
      <c r="F5" s="703" t="s">
        <v>136</v>
      </c>
      <c r="G5" s="703" t="s">
        <v>138</v>
      </c>
      <c r="H5" s="703" t="s">
        <v>61</v>
      </c>
      <c r="I5" s="703" t="s">
        <v>115</v>
      </c>
      <c r="J5" s="705" t="s">
        <v>116</v>
      </c>
      <c r="K5" s="701"/>
    </row>
    <row r="6" spans="1:11" ht="12.75" customHeight="1" x14ac:dyDescent="0.2">
      <c r="A6" s="727"/>
      <c r="B6" s="728"/>
      <c r="C6" s="728"/>
      <c r="D6" s="704"/>
      <c r="E6" s="704"/>
      <c r="F6" s="704"/>
      <c r="G6" s="704"/>
      <c r="H6" s="704"/>
      <c r="I6" s="704"/>
      <c r="J6" s="706"/>
      <c r="K6" s="701"/>
    </row>
    <row r="7" spans="1:11" ht="12.75" customHeight="1" x14ac:dyDescent="0.2">
      <c r="A7" s="727"/>
      <c r="B7" s="728"/>
      <c r="C7" s="728"/>
      <c r="D7" s="704"/>
      <c r="E7" s="704"/>
      <c r="F7" s="704"/>
      <c r="G7" s="704"/>
      <c r="H7" s="704"/>
      <c r="I7" s="704"/>
      <c r="J7" s="707"/>
      <c r="K7" s="701"/>
    </row>
    <row r="8" spans="1:11" ht="13.5" customHeight="1" thickBot="1" x14ac:dyDescent="0.25">
      <c r="A8" s="729"/>
      <c r="B8" s="728"/>
      <c r="C8" s="728"/>
      <c r="D8" s="704"/>
      <c r="E8" s="704"/>
      <c r="F8" s="704"/>
      <c r="G8" s="704"/>
      <c r="H8" s="704"/>
      <c r="I8" s="704"/>
      <c r="J8" s="708"/>
      <c r="K8" s="701"/>
    </row>
    <row r="9" spans="1:11" ht="12.75" customHeight="1" x14ac:dyDescent="0.2">
      <c r="A9" s="712" t="s">
        <v>63</v>
      </c>
      <c r="B9" s="715" t="s">
        <v>50</v>
      </c>
      <c r="C9" s="716"/>
      <c r="D9" s="694">
        <f>SUMIF('6'!D11:D70,"Instruction",'6'!F11:F70)</f>
        <v>417994.01</v>
      </c>
      <c r="E9" s="694">
        <f>SUMIF('6'!E81:E105,"Instruction",'6'!F81:F105)</f>
        <v>0</v>
      </c>
      <c r="F9" s="694">
        <f>SUMIF('6'!E116:E140,"Instruction",'6'!F116:F140)</f>
        <v>0</v>
      </c>
      <c r="G9" s="694">
        <f>SUMIF('6'!E151:E175,"Instruction",'6'!F151:F175)</f>
        <v>0</v>
      </c>
      <c r="H9" s="694">
        <f>SUMIF('6'!E186:E210,"Instruction",'6'!F186:F210)</f>
        <v>0</v>
      </c>
      <c r="I9" s="694">
        <f>SUMIF('6'!E221:E245,"Instruction",'6'!F221:F245)</f>
        <v>0</v>
      </c>
      <c r="J9" s="709">
        <f>SUM(D9:I9)</f>
        <v>417994.01</v>
      </c>
      <c r="K9" s="701"/>
    </row>
    <row r="10" spans="1:11" ht="12.75" customHeight="1" x14ac:dyDescent="0.2">
      <c r="A10" s="713"/>
      <c r="B10" s="717"/>
      <c r="C10" s="718"/>
      <c r="D10" s="695"/>
      <c r="E10" s="695"/>
      <c r="F10" s="695"/>
      <c r="G10" s="695"/>
      <c r="H10" s="695"/>
      <c r="I10" s="695"/>
      <c r="J10" s="710"/>
      <c r="K10" s="701"/>
    </row>
    <row r="11" spans="1:11" ht="12.75" customHeight="1" x14ac:dyDescent="0.2">
      <c r="A11" s="713"/>
      <c r="B11" s="717"/>
      <c r="C11" s="718"/>
      <c r="D11" s="695"/>
      <c r="E11" s="695"/>
      <c r="F11" s="695"/>
      <c r="G11" s="695"/>
      <c r="H11" s="695"/>
      <c r="I11" s="695"/>
      <c r="J11" s="710"/>
      <c r="K11" s="701"/>
    </row>
    <row r="12" spans="1:11" ht="12.75" customHeight="1" x14ac:dyDescent="0.2">
      <c r="A12" s="713"/>
      <c r="B12" s="717"/>
      <c r="C12" s="718"/>
      <c r="D12" s="695"/>
      <c r="E12" s="695"/>
      <c r="F12" s="695"/>
      <c r="G12" s="695"/>
      <c r="H12" s="695"/>
      <c r="I12" s="695"/>
      <c r="J12" s="710"/>
      <c r="K12" s="701"/>
    </row>
    <row r="13" spans="1:11" ht="12.75" customHeight="1" x14ac:dyDescent="0.2">
      <c r="A13" s="713"/>
      <c r="B13" s="717"/>
      <c r="C13" s="718"/>
      <c r="D13" s="695"/>
      <c r="E13" s="695"/>
      <c r="F13" s="695"/>
      <c r="G13" s="695"/>
      <c r="H13" s="695"/>
      <c r="I13" s="695"/>
      <c r="J13" s="710"/>
      <c r="K13" s="701"/>
    </row>
    <row r="14" spans="1:11" ht="12.75" customHeight="1" thickBot="1" x14ac:dyDescent="0.25">
      <c r="A14" s="713"/>
      <c r="B14" s="717"/>
      <c r="C14" s="718"/>
      <c r="D14" s="696"/>
      <c r="E14" s="696"/>
      <c r="F14" s="696"/>
      <c r="G14" s="696"/>
      <c r="H14" s="696"/>
      <c r="I14" s="696"/>
      <c r="J14" s="711"/>
      <c r="K14" s="701"/>
    </row>
    <row r="15" spans="1:11" ht="12.75" customHeight="1" x14ac:dyDescent="0.2">
      <c r="A15" s="713"/>
      <c r="B15" s="715" t="s">
        <v>51</v>
      </c>
      <c r="C15" s="716"/>
      <c r="D15" s="694">
        <f>SUMIF('6'!D11:D70,"Support Services",'6'!F11:F70)</f>
        <v>46157.93</v>
      </c>
      <c r="E15" s="694">
        <f>SUMIF('6'!E81:E105,"Support Services",'6'!F81:F105)</f>
        <v>1020.56</v>
      </c>
      <c r="F15" s="694">
        <f>SUMIF('6'!E116:E140,"Support Services",'6'!F116:F140)</f>
        <v>0</v>
      </c>
      <c r="G15" s="694">
        <f>SUMIF('6'!E151:E175,"Support Services",'6'!F151:F175)</f>
        <v>0</v>
      </c>
      <c r="H15" s="694">
        <f>SUMIF('6'!E186:E210,"Support Services",'6'!F186:F210)</f>
        <v>0</v>
      </c>
      <c r="I15" s="694">
        <f>SUMIF('6'!E221:E245,"Support Services",'6'!F221:F245)</f>
        <v>7576.17</v>
      </c>
      <c r="J15" s="709">
        <f>SUM(D15:I15)</f>
        <v>54754.659999999996</v>
      </c>
      <c r="K15" s="701"/>
    </row>
    <row r="16" spans="1:11" ht="12.75" customHeight="1" x14ac:dyDescent="0.2">
      <c r="A16" s="713"/>
      <c r="B16" s="717"/>
      <c r="C16" s="718"/>
      <c r="D16" s="695"/>
      <c r="E16" s="695"/>
      <c r="F16" s="695"/>
      <c r="G16" s="695"/>
      <c r="H16" s="695"/>
      <c r="I16" s="695"/>
      <c r="J16" s="710"/>
      <c r="K16" s="701"/>
    </row>
    <row r="17" spans="1:11" ht="12.75" customHeight="1" x14ac:dyDescent="0.2">
      <c r="A17" s="713"/>
      <c r="B17" s="717"/>
      <c r="C17" s="718"/>
      <c r="D17" s="695"/>
      <c r="E17" s="695"/>
      <c r="F17" s="695"/>
      <c r="G17" s="695"/>
      <c r="H17" s="695"/>
      <c r="I17" s="695"/>
      <c r="J17" s="710"/>
      <c r="K17" s="701"/>
    </row>
    <row r="18" spans="1:11" ht="12.75" customHeight="1" x14ac:dyDescent="0.2">
      <c r="A18" s="713"/>
      <c r="B18" s="717"/>
      <c r="C18" s="718"/>
      <c r="D18" s="695"/>
      <c r="E18" s="695"/>
      <c r="F18" s="695"/>
      <c r="G18" s="695"/>
      <c r="H18" s="695"/>
      <c r="I18" s="695"/>
      <c r="J18" s="710"/>
      <c r="K18" s="701"/>
    </row>
    <row r="19" spans="1:11" ht="12.75" customHeight="1" x14ac:dyDescent="0.2">
      <c r="A19" s="713"/>
      <c r="B19" s="717"/>
      <c r="C19" s="718"/>
      <c r="D19" s="695"/>
      <c r="E19" s="695"/>
      <c r="F19" s="695"/>
      <c r="G19" s="695"/>
      <c r="H19" s="695"/>
      <c r="I19" s="695"/>
      <c r="J19" s="710"/>
      <c r="K19" s="701"/>
    </row>
    <row r="20" spans="1:11" ht="12.75" customHeight="1" thickBot="1" x14ac:dyDescent="0.25">
      <c r="A20" s="713"/>
      <c r="B20" s="717"/>
      <c r="C20" s="718"/>
      <c r="D20" s="696"/>
      <c r="E20" s="696"/>
      <c r="F20" s="696"/>
      <c r="G20" s="696"/>
      <c r="H20" s="696"/>
      <c r="I20" s="696"/>
      <c r="J20" s="711"/>
      <c r="K20" s="701"/>
    </row>
    <row r="21" spans="1:11" ht="12.75" customHeight="1" x14ac:dyDescent="0.2">
      <c r="A21" s="713"/>
      <c r="B21" s="715" t="s">
        <v>94</v>
      </c>
      <c r="C21" s="716"/>
      <c r="D21" s="694">
        <f>SUMIF('6'!D11:D70,"Administration",'6'!F11:F70)</f>
        <v>0</v>
      </c>
      <c r="E21" s="694">
        <f>SUMIF('6'!E81:E105,"Administration",'6'!F81:F105)</f>
        <v>0</v>
      </c>
      <c r="F21" s="694">
        <f>SUMIF('6'!E116:E140,"Administration",'6'!F116:F140)</f>
        <v>0</v>
      </c>
      <c r="G21" s="694">
        <f>SUMIF('6'!E151:E175,"Administration",'6'!F151:F175)</f>
        <v>0</v>
      </c>
      <c r="H21" s="694">
        <f>SUMIF('6'!E186:E210,"Administration",'6'!F186:F210)</f>
        <v>0</v>
      </c>
      <c r="I21" s="694">
        <f>SUMIF('6'!E221:E245,"Administration",'6'!F221:F245)</f>
        <v>0</v>
      </c>
      <c r="J21" s="709">
        <f>SUM(D21:I21)</f>
        <v>0</v>
      </c>
      <c r="K21" s="701"/>
    </row>
    <row r="22" spans="1:11" ht="12.75" customHeight="1" x14ac:dyDescent="0.2">
      <c r="A22" s="713"/>
      <c r="B22" s="717"/>
      <c r="C22" s="718"/>
      <c r="D22" s="695"/>
      <c r="E22" s="695"/>
      <c r="F22" s="695"/>
      <c r="G22" s="695"/>
      <c r="H22" s="695"/>
      <c r="I22" s="695"/>
      <c r="J22" s="710"/>
      <c r="K22" s="701"/>
    </row>
    <row r="23" spans="1:11" ht="12.75" customHeight="1" x14ac:dyDescent="0.2">
      <c r="A23" s="713"/>
      <c r="B23" s="717"/>
      <c r="C23" s="718"/>
      <c r="D23" s="695"/>
      <c r="E23" s="695"/>
      <c r="F23" s="695"/>
      <c r="G23" s="695"/>
      <c r="H23" s="695"/>
      <c r="I23" s="695"/>
      <c r="J23" s="710"/>
      <c r="K23" s="701"/>
    </row>
    <row r="24" spans="1:11" ht="12.75" customHeight="1" x14ac:dyDescent="0.2">
      <c r="A24" s="713"/>
      <c r="B24" s="717"/>
      <c r="C24" s="718"/>
      <c r="D24" s="695"/>
      <c r="E24" s="695"/>
      <c r="F24" s="695"/>
      <c r="G24" s="695"/>
      <c r="H24" s="695"/>
      <c r="I24" s="695"/>
      <c r="J24" s="710"/>
      <c r="K24" s="701"/>
    </row>
    <row r="25" spans="1:11" ht="12.75" customHeight="1" x14ac:dyDescent="0.2">
      <c r="A25" s="713"/>
      <c r="B25" s="717"/>
      <c r="C25" s="718"/>
      <c r="D25" s="695"/>
      <c r="E25" s="695"/>
      <c r="F25" s="695"/>
      <c r="G25" s="695"/>
      <c r="H25" s="695"/>
      <c r="I25" s="695"/>
      <c r="J25" s="710"/>
      <c r="K25" s="701"/>
    </row>
    <row r="26" spans="1:11" ht="12.75" customHeight="1" thickBot="1" x14ac:dyDescent="0.25">
      <c r="A26" s="713"/>
      <c r="B26" s="717"/>
      <c r="C26" s="718"/>
      <c r="D26" s="696"/>
      <c r="E26" s="696"/>
      <c r="F26" s="696"/>
      <c r="G26" s="696"/>
      <c r="H26" s="696"/>
      <c r="I26" s="696"/>
      <c r="J26" s="711"/>
      <c r="K26" s="701"/>
    </row>
    <row r="27" spans="1:11" ht="12.75" customHeight="1" x14ac:dyDescent="0.2">
      <c r="A27" s="713"/>
      <c r="B27" s="715" t="s">
        <v>90</v>
      </c>
      <c r="C27" s="716"/>
      <c r="D27" s="694">
        <f>SUMIF('6'!D11:D70,"Operations and Maintenance",'6'!F11:F70)</f>
        <v>0</v>
      </c>
      <c r="E27" s="694">
        <f>SUMIF('6'!E81:E105,"Operations and Maintenance",'6'!F81:F105)</f>
        <v>0</v>
      </c>
      <c r="F27" s="694">
        <f>SUMIF('6'!E116:E140,"Operations and Maintenance",'6'!F116:F140)</f>
        <v>0</v>
      </c>
      <c r="G27" s="694">
        <f>SUMIF('6'!E151:E175,"Operations and Maintenance",'6'!F151:F175)</f>
        <v>0</v>
      </c>
      <c r="H27" s="694">
        <f>SUMIF('6'!E186:E210,"Operations and Maintenance",'6'!F186:F210)</f>
        <v>0</v>
      </c>
      <c r="I27" s="694">
        <f>SUMIF('6'!E221:E245,"Operations and Maintenance",'6'!F221:F245)</f>
        <v>0</v>
      </c>
      <c r="J27" s="709">
        <f>SUM(D27:I27)</f>
        <v>0</v>
      </c>
      <c r="K27" s="701"/>
    </row>
    <row r="28" spans="1:11" x14ac:dyDescent="0.2">
      <c r="A28" s="713"/>
      <c r="B28" s="717"/>
      <c r="C28" s="718"/>
      <c r="D28" s="695"/>
      <c r="E28" s="695"/>
      <c r="F28" s="695"/>
      <c r="G28" s="695"/>
      <c r="H28" s="695"/>
      <c r="I28" s="695"/>
      <c r="J28" s="710"/>
      <c r="K28" s="701"/>
    </row>
    <row r="29" spans="1:11" x14ac:dyDescent="0.2">
      <c r="A29" s="713"/>
      <c r="B29" s="717"/>
      <c r="C29" s="718"/>
      <c r="D29" s="695"/>
      <c r="E29" s="695"/>
      <c r="F29" s="695"/>
      <c r="G29" s="695"/>
      <c r="H29" s="695"/>
      <c r="I29" s="695"/>
      <c r="J29" s="710"/>
      <c r="K29" s="701"/>
    </row>
    <row r="30" spans="1:11" x14ac:dyDescent="0.2">
      <c r="A30" s="713"/>
      <c r="B30" s="717"/>
      <c r="C30" s="718"/>
      <c r="D30" s="695"/>
      <c r="E30" s="695"/>
      <c r="F30" s="695"/>
      <c r="G30" s="695"/>
      <c r="H30" s="695"/>
      <c r="I30" s="695"/>
      <c r="J30" s="710"/>
      <c r="K30" s="701"/>
    </row>
    <row r="31" spans="1:11" x14ac:dyDescent="0.2">
      <c r="A31" s="713"/>
      <c r="B31" s="717"/>
      <c r="C31" s="718"/>
      <c r="D31" s="695"/>
      <c r="E31" s="695"/>
      <c r="F31" s="695"/>
      <c r="G31" s="695"/>
      <c r="H31" s="695"/>
      <c r="I31" s="695"/>
      <c r="J31" s="710"/>
      <c r="K31" s="701"/>
    </row>
    <row r="32" spans="1:11" ht="13.5" thickBot="1" x14ac:dyDescent="0.25">
      <c r="A32" s="713"/>
      <c r="B32" s="717"/>
      <c r="C32" s="718"/>
      <c r="D32" s="696"/>
      <c r="E32" s="696"/>
      <c r="F32" s="696"/>
      <c r="G32" s="696"/>
      <c r="H32" s="696"/>
      <c r="I32" s="696"/>
      <c r="J32" s="711"/>
      <c r="K32" s="701"/>
    </row>
    <row r="33" spans="1:11" ht="12.75" customHeight="1" x14ac:dyDescent="0.2">
      <c r="A33" s="713"/>
      <c r="B33" s="715" t="s">
        <v>95</v>
      </c>
      <c r="C33" s="716"/>
      <c r="D33" s="694">
        <f>SUMIF('6'!D11:D70,"Student Transportation",'6'!F11:F70)</f>
        <v>0</v>
      </c>
      <c r="E33" s="694">
        <f>SUMIF('6'!E81:E105,"Student Transportation",'6'!F81:F105)</f>
        <v>0</v>
      </c>
      <c r="F33" s="694">
        <f>SUMIF('6'!E116:E140,"Student Transportation",'6'!F116:F140)</f>
        <v>0</v>
      </c>
      <c r="G33" s="694">
        <f>SUMIF('6'!E151:E175,"Student Transportation",'6'!F151:F175)</f>
        <v>0</v>
      </c>
      <c r="H33" s="694">
        <f>SUMIF('6'!E186:E210,"Student Transportation",'6'!F186:F210)</f>
        <v>0</v>
      </c>
      <c r="I33" s="694">
        <f>SUMIF('6'!E221:E245,"Student Transportation",'6'!F221:F245)</f>
        <v>0</v>
      </c>
      <c r="J33" s="709">
        <f>SUM(D33:I33)</f>
        <v>0</v>
      </c>
      <c r="K33" s="701"/>
    </row>
    <row r="34" spans="1:11" x14ac:dyDescent="0.2">
      <c r="A34" s="713"/>
      <c r="B34" s="717"/>
      <c r="C34" s="718"/>
      <c r="D34" s="695"/>
      <c r="E34" s="695"/>
      <c r="F34" s="695"/>
      <c r="G34" s="695"/>
      <c r="H34" s="695"/>
      <c r="I34" s="695"/>
      <c r="J34" s="710"/>
      <c r="K34" s="701"/>
    </row>
    <row r="35" spans="1:11" x14ac:dyDescent="0.2">
      <c r="A35" s="713"/>
      <c r="B35" s="717"/>
      <c r="C35" s="718"/>
      <c r="D35" s="695"/>
      <c r="E35" s="695"/>
      <c r="F35" s="695"/>
      <c r="G35" s="695"/>
      <c r="H35" s="695"/>
      <c r="I35" s="695"/>
      <c r="J35" s="710"/>
      <c r="K35" s="701"/>
    </row>
    <row r="36" spans="1:11" x14ac:dyDescent="0.2">
      <c r="A36" s="713"/>
      <c r="B36" s="717"/>
      <c r="C36" s="718"/>
      <c r="D36" s="695"/>
      <c r="E36" s="695"/>
      <c r="F36" s="695"/>
      <c r="G36" s="695"/>
      <c r="H36" s="695"/>
      <c r="I36" s="695"/>
      <c r="J36" s="710"/>
      <c r="K36" s="701"/>
    </row>
    <row r="37" spans="1:11" x14ac:dyDescent="0.2">
      <c r="A37" s="713"/>
      <c r="B37" s="717"/>
      <c r="C37" s="718"/>
      <c r="D37" s="695"/>
      <c r="E37" s="695"/>
      <c r="F37" s="695"/>
      <c r="G37" s="695"/>
      <c r="H37" s="695"/>
      <c r="I37" s="695"/>
      <c r="J37" s="710"/>
      <c r="K37" s="701"/>
    </row>
    <row r="38" spans="1:11" ht="13.5" thickBot="1" x14ac:dyDescent="0.25">
      <c r="A38" s="713"/>
      <c r="B38" s="717"/>
      <c r="C38" s="718"/>
      <c r="D38" s="696"/>
      <c r="E38" s="696"/>
      <c r="F38" s="696"/>
      <c r="G38" s="696"/>
      <c r="H38" s="696"/>
      <c r="I38" s="696"/>
      <c r="J38" s="711"/>
      <c r="K38" s="701"/>
    </row>
    <row r="39" spans="1:11" ht="12.75" customHeight="1" x14ac:dyDescent="0.2">
      <c r="A39" s="713"/>
      <c r="B39" s="715" t="s">
        <v>52</v>
      </c>
      <c r="C39" s="716"/>
      <c r="D39" s="694">
        <f>SUMIF('6'!D11:D70,"Other",'6'!F11:F70)</f>
        <v>0</v>
      </c>
      <c r="E39" s="694">
        <f>SUMIF('6'!E81:E105,"Other",'6'!F81:F105)</f>
        <v>0</v>
      </c>
      <c r="F39" s="694">
        <f>SUMIF('6'!E116:E140,"Other",'6'!F116:F140)</f>
        <v>0</v>
      </c>
      <c r="G39" s="694">
        <f>SUMIF('6'!E151:E175,"Other",'6'!F151:F175)</f>
        <v>0</v>
      </c>
      <c r="H39" s="694">
        <f>SUMIF('6'!E186:E210,"Other",'6'!F186:F210)</f>
        <v>0</v>
      </c>
      <c r="I39" s="694">
        <f>SUMIF('6'!E221:E245,"Other",'6'!F221:F245)</f>
        <v>0</v>
      </c>
      <c r="J39" s="709">
        <f>SUM(D39:I39)</f>
        <v>0</v>
      </c>
      <c r="K39" s="701"/>
    </row>
    <row r="40" spans="1:11" ht="12.75" customHeight="1" x14ac:dyDescent="0.2">
      <c r="A40" s="713"/>
      <c r="B40" s="717"/>
      <c r="C40" s="718"/>
      <c r="D40" s="695"/>
      <c r="E40" s="695"/>
      <c r="F40" s="695"/>
      <c r="G40" s="695"/>
      <c r="H40" s="695"/>
      <c r="I40" s="695"/>
      <c r="J40" s="710"/>
      <c r="K40" s="701"/>
    </row>
    <row r="41" spans="1:11" x14ac:dyDescent="0.2">
      <c r="A41" s="713"/>
      <c r="B41" s="717"/>
      <c r="C41" s="718"/>
      <c r="D41" s="695"/>
      <c r="E41" s="695"/>
      <c r="F41" s="695"/>
      <c r="G41" s="695"/>
      <c r="H41" s="695"/>
      <c r="I41" s="695"/>
      <c r="J41" s="710"/>
      <c r="K41" s="701"/>
    </row>
    <row r="42" spans="1:11" x14ac:dyDescent="0.2">
      <c r="A42" s="713"/>
      <c r="B42" s="717"/>
      <c r="C42" s="718"/>
      <c r="D42" s="695"/>
      <c r="E42" s="695"/>
      <c r="F42" s="695"/>
      <c r="G42" s="695"/>
      <c r="H42" s="695"/>
      <c r="I42" s="695"/>
      <c r="J42" s="710"/>
      <c r="K42" s="701"/>
    </row>
    <row r="43" spans="1:11" x14ac:dyDescent="0.2">
      <c r="A43" s="713"/>
      <c r="B43" s="717"/>
      <c r="C43" s="718"/>
      <c r="D43" s="695"/>
      <c r="E43" s="695"/>
      <c r="F43" s="695"/>
      <c r="G43" s="695"/>
      <c r="H43" s="695"/>
      <c r="I43" s="695"/>
      <c r="J43" s="710"/>
      <c r="K43" s="701"/>
    </row>
    <row r="44" spans="1:11" ht="13.5" thickBot="1" x14ac:dyDescent="0.25">
      <c r="A44" s="713"/>
      <c r="B44" s="717"/>
      <c r="C44" s="718"/>
      <c r="D44" s="696"/>
      <c r="E44" s="696"/>
      <c r="F44" s="696"/>
      <c r="G44" s="696"/>
      <c r="H44" s="696"/>
      <c r="I44" s="696"/>
      <c r="J44" s="711"/>
      <c r="K44" s="701"/>
    </row>
    <row r="45" spans="1:11" ht="12.75" customHeight="1" x14ac:dyDescent="0.2">
      <c r="A45" s="713"/>
      <c r="B45" s="719" t="s">
        <v>113</v>
      </c>
      <c r="C45" s="720"/>
      <c r="D45" s="697">
        <f t="shared" ref="D45:I45" si="0">SUM(D9:D44)</f>
        <v>464151.94</v>
      </c>
      <c r="E45" s="697">
        <f t="shared" si="0"/>
        <v>1020.56</v>
      </c>
      <c r="F45" s="697">
        <f t="shared" si="0"/>
        <v>0</v>
      </c>
      <c r="G45" s="697">
        <f t="shared" si="0"/>
        <v>0</v>
      </c>
      <c r="H45" s="697">
        <f t="shared" si="0"/>
        <v>0</v>
      </c>
      <c r="I45" s="697">
        <f t="shared" si="0"/>
        <v>7576.17</v>
      </c>
      <c r="J45" s="697">
        <f>SUM(D45:I45)</f>
        <v>472748.67</v>
      </c>
      <c r="K45" s="701"/>
    </row>
    <row r="46" spans="1:11" x14ac:dyDescent="0.2">
      <c r="A46" s="713"/>
      <c r="B46" s="721"/>
      <c r="C46" s="722"/>
      <c r="D46" s="698"/>
      <c r="E46" s="698"/>
      <c r="F46" s="698"/>
      <c r="G46" s="698"/>
      <c r="H46" s="698"/>
      <c r="I46" s="698"/>
      <c r="J46" s="698"/>
      <c r="K46" s="701"/>
    </row>
    <row r="47" spans="1:11" x14ac:dyDescent="0.2">
      <c r="A47" s="713"/>
      <c r="B47" s="721"/>
      <c r="C47" s="722"/>
      <c r="D47" s="698"/>
      <c r="E47" s="698"/>
      <c r="F47" s="698"/>
      <c r="G47" s="698"/>
      <c r="H47" s="698"/>
      <c r="I47" s="698"/>
      <c r="J47" s="698"/>
      <c r="K47" s="701"/>
    </row>
    <row r="48" spans="1:11" x14ac:dyDescent="0.2">
      <c r="A48" s="713"/>
      <c r="B48" s="721"/>
      <c r="C48" s="722"/>
      <c r="D48" s="698"/>
      <c r="E48" s="698"/>
      <c r="F48" s="698"/>
      <c r="G48" s="698"/>
      <c r="H48" s="698"/>
      <c r="I48" s="698"/>
      <c r="J48" s="698"/>
      <c r="K48" s="701"/>
    </row>
    <row r="49" spans="1:11" x14ac:dyDescent="0.2">
      <c r="A49" s="713"/>
      <c r="B49" s="721"/>
      <c r="C49" s="722"/>
      <c r="D49" s="698"/>
      <c r="E49" s="698"/>
      <c r="F49" s="698"/>
      <c r="G49" s="698"/>
      <c r="H49" s="698"/>
      <c r="I49" s="698"/>
      <c r="J49" s="698"/>
      <c r="K49" s="701"/>
    </row>
    <row r="50" spans="1:11" ht="13.5" thickBot="1" x14ac:dyDescent="0.25">
      <c r="A50" s="714"/>
      <c r="B50" s="723"/>
      <c r="C50" s="724"/>
      <c r="D50" s="699"/>
      <c r="E50" s="699"/>
      <c r="F50" s="699"/>
      <c r="G50" s="699"/>
      <c r="H50" s="699"/>
      <c r="I50" s="699"/>
      <c r="J50" s="699"/>
      <c r="K50" s="702"/>
    </row>
    <row r="51" spans="1:11" ht="13.5" thickTop="1" x14ac:dyDescent="0.2"/>
  </sheetData>
  <sheetProtection password="E686" sheet="1" objects="1" scenarios="1"/>
  <mergeCells count="67">
    <mergeCell ref="A1:C8"/>
    <mergeCell ref="D1:J4"/>
    <mergeCell ref="D21:D26"/>
    <mergeCell ref="I27:I32"/>
    <mergeCell ref="B21:C26"/>
    <mergeCell ref="B27:C32"/>
    <mergeCell ref="D15:D20"/>
    <mergeCell ref="E15:E20"/>
    <mergeCell ref="F15:F20"/>
    <mergeCell ref="G15:G20"/>
    <mergeCell ref="H15:H20"/>
    <mergeCell ref="I15:I20"/>
    <mergeCell ref="D9:D14"/>
    <mergeCell ref="E9:E14"/>
    <mergeCell ref="F9:F14"/>
    <mergeCell ref="E21:E26"/>
    <mergeCell ref="J39:J44"/>
    <mergeCell ref="J45:J50"/>
    <mergeCell ref="D45:D50"/>
    <mergeCell ref="A9:A50"/>
    <mergeCell ref="B9:C14"/>
    <mergeCell ref="B15:C20"/>
    <mergeCell ref="B33:C38"/>
    <mergeCell ref="B39:C44"/>
    <mergeCell ref="B45:C50"/>
    <mergeCell ref="E45:E50"/>
    <mergeCell ref="F45:F50"/>
    <mergeCell ref="G45:G50"/>
    <mergeCell ref="H45:H50"/>
    <mergeCell ref="D27:D32"/>
    <mergeCell ref="E27:E32"/>
    <mergeCell ref="F27:F32"/>
    <mergeCell ref="K1:K50"/>
    <mergeCell ref="D5:D8"/>
    <mergeCell ref="E5:E8"/>
    <mergeCell ref="F5:F8"/>
    <mergeCell ref="G5:G8"/>
    <mergeCell ref="H5:H8"/>
    <mergeCell ref="I5:I8"/>
    <mergeCell ref="J5:J8"/>
    <mergeCell ref="J9:J14"/>
    <mergeCell ref="J15:J20"/>
    <mergeCell ref="J21:J26"/>
    <mergeCell ref="J27:J32"/>
    <mergeCell ref="J33:J38"/>
    <mergeCell ref="G9:G14"/>
    <mergeCell ref="H9:H14"/>
    <mergeCell ref="I9:I14"/>
    <mergeCell ref="F21:F26"/>
    <mergeCell ref="G21:G26"/>
    <mergeCell ref="H21:H26"/>
    <mergeCell ref="I45:I50"/>
    <mergeCell ref="I21:I26"/>
    <mergeCell ref="F33:F38"/>
    <mergeCell ref="G33:G38"/>
    <mergeCell ref="H33:H38"/>
    <mergeCell ref="I33:I38"/>
    <mergeCell ref="G27:G32"/>
    <mergeCell ref="H27:H32"/>
    <mergeCell ref="I39:I44"/>
    <mergeCell ref="G39:G44"/>
    <mergeCell ref="H39:H44"/>
    <mergeCell ref="D33:D38"/>
    <mergeCell ref="E33:E38"/>
    <mergeCell ref="D39:D44"/>
    <mergeCell ref="E39:E44"/>
    <mergeCell ref="F39:F44"/>
  </mergeCells>
  <conditionalFormatting sqref="K1">
    <cfRule type="cellIs" dxfId="49" priority="1" operator="equal">
      <formula>"The total amount for which you have budgeted does not match the total amount of funds from all sources being consolidated in the LEA's consolidated schoolwide program pool of funds."</formula>
    </cfRule>
  </conditionalFormatting>
  <pageMargins left="0.75" right="0.75" top="1" bottom="1" header="0.5" footer="0.5"/>
  <pageSetup scale="74" orientation="landscape" r:id="rId1"/>
  <headerFooter alignWithMargins="0">
    <oddHeader>&amp;LFFY 2012 Consolidated Application&amp;C&amp;A&amp;R&amp;P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34</vt:i4>
      </vt:variant>
    </vt:vector>
  </HeadingPairs>
  <TitlesOfParts>
    <vt:vector size="59" baseType="lpstr">
      <vt:lpstr>Contents</vt:lpstr>
      <vt:lpstr>1</vt:lpstr>
      <vt:lpstr>2a</vt:lpstr>
      <vt:lpstr>2b</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Sheet1</vt:lpstr>
      <vt:lpstr>Validation</vt:lpstr>
      <vt:lpstr>'19'!check</vt:lpstr>
      <vt:lpstr>check</vt:lpstr>
      <vt:lpstr>check2</vt:lpstr>
      <vt:lpstr>LEA</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'21'!Print_Area</vt:lpstr>
      <vt:lpstr>'2a'!Print_Area</vt:lpstr>
      <vt:lpstr>'2b'!Print_Area</vt:lpstr>
      <vt:lpstr>'3'!Print_Area</vt:lpstr>
      <vt:lpstr>'4'!Print_Area</vt:lpstr>
      <vt:lpstr>'5'!Print_Area</vt:lpstr>
      <vt:lpstr>'6'!Print_Area</vt:lpstr>
      <vt:lpstr>'7'!Print_Area</vt:lpstr>
      <vt:lpstr>'8'!Print_Area</vt:lpstr>
      <vt:lpstr>'9'!Print_Area</vt:lpstr>
      <vt:lpstr>Contents!Print_Area</vt:lpstr>
      <vt:lpstr>program</vt:lpstr>
      <vt:lpstr>'7'!setasides</vt:lpstr>
      <vt:lpstr>setasides</vt:lpstr>
      <vt:lpstr>setasides2</vt:lpstr>
      <vt:lpstr>setasides3</vt:lpstr>
      <vt:lpstr>signature</vt:lpstr>
      <vt:lpstr>yes</vt:lpstr>
      <vt:lpstr>'1'!yesno</vt:lpstr>
    </vt:vector>
  </TitlesOfParts>
  <Company>OSSE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natalie.mitchell</dc:creator>
  <cp:lastModifiedBy>ServUS</cp:lastModifiedBy>
  <cp:lastPrinted>2013-07-24T16:40:23Z</cp:lastPrinted>
  <dcterms:created xsi:type="dcterms:W3CDTF">2010-06-16T23:49:17Z</dcterms:created>
  <dcterms:modified xsi:type="dcterms:W3CDTF">2013-08-05T17:23:44Z</dcterms:modified>
</cp:coreProperties>
</file>