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19440" windowHeight="10965" tabRatio="816" activeTab="10"/>
  </bookViews>
  <sheets>
    <sheet name="Contents" sheetId="6" r:id="rId1"/>
    <sheet name="1" sheetId="8" r:id="rId2"/>
    <sheet name="2a" sheetId="28" r:id="rId3"/>
    <sheet name="2b" sheetId="44" r:id="rId4"/>
    <sheet name="3" sheetId="29" r:id="rId5"/>
    <sheet name="4" sheetId="32" r:id="rId6"/>
    <sheet name="5" sheetId="34" r:id="rId7"/>
    <sheet name="6" sheetId="5" r:id="rId8"/>
    <sheet name="7" sheetId="19" r:id="rId9"/>
    <sheet name="8" sheetId="36" r:id="rId10"/>
    <sheet name="9" sheetId="16" r:id="rId11"/>
    <sheet name="10" sheetId="15" r:id="rId12"/>
    <sheet name="11" sheetId="37" r:id="rId13"/>
    <sheet name="12" sheetId="14" r:id="rId14"/>
    <sheet name="13" sheetId="20" r:id="rId15"/>
    <sheet name="14" sheetId="17" r:id="rId16"/>
    <sheet name="15" sheetId="38" r:id="rId17"/>
    <sheet name="16" sheetId="31" r:id="rId18"/>
    <sheet name="17" sheetId="46" r:id="rId19"/>
    <sheet name="18" sheetId="18" r:id="rId20"/>
    <sheet name="19" sheetId="41" r:id="rId21"/>
    <sheet name="20" sheetId="45" r:id="rId22"/>
    <sheet name="21" sheetId="12" r:id="rId23"/>
    <sheet name="Sheet1" sheetId="7" state="hidden" r:id="rId24"/>
    <sheet name="Validation" sheetId="42" r:id="rId25"/>
    <sheet name="Sheet2" sheetId="47"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dultno" localSheetId="1">[1]AppleTree:NationalCollegiate!$B$18</definedName>
    <definedName name="adultno">[1]AppleTree:NationalCollegiate!$B$18</definedName>
    <definedName name="altno" localSheetId="1">[1]AppleTree:NationalCollegiate!$B$16</definedName>
    <definedName name="altno">[1]AppleTree:NationalCollegiate!$B$16</definedName>
    <definedName name="certifier">[2]Sheet1!$A$1:$A$2</definedName>
    <definedName name="check" localSheetId="1">'[3]OSSE Only'!$A$6:$A$7</definedName>
    <definedName name="check" localSheetId="11">#REF!</definedName>
    <definedName name="check" localSheetId="15">#REF!</definedName>
    <definedName name="check" localSheetId="19">#REF!</definedName>
    <definedName name="check" localSheetId="20">'19'!$A$137:$A$138</definedName>
    <definedName name="check" localSheetId="22">'[4]OSSE Only'!$A$6:$A$7</definedName>
    <definedName name="check" localSheetId="3">[5]Sheet1!$A$3:$A$4</definedName>
    <definedName name="check" localSheetId="8">#REF!</definedName>
    <definedName name="check" localSheetId="24">'[6]OSSE Only'!$A$6:$A$7</definedName>
    <definedName name="check">Sheet1!$A$3:$A$4</definedName>
    <definedName name="check2" localSheetId="20">'[7]1'!$A$61:$A$62</definedName>
    <definedName name="check2" localSheetId="3">'[5]1'!$A$61:$A$62</definedName>
    <definedName name="check2">'1'!$A$61:$A$62</definedName>
    <definedName name="consortium">#REF!</definedName>
    <definedName name="decision" localSheetId="1">#REF!</definedName>
    <definedName name="decision" localSheetId="22">'[4]OSSE Only'!$A$28:$A$30</definedName>
    <definedName name="decision" localSheetId="24">'[6]OSSE Only'!$A$28:$A$30</definedName>
    <definedName name="decision">'[8]OSSE Only'!$A$28:$A$30</definedName>
    <definedName name="dropdown">[9]Sheet1!$A$3:$A$4</definedName>
    <definedName name="ELLamount" localSheetId="1">[1]AppleTree:NationalCollegiate!$C$27</definedName>
    <definedName name="ELLamount">[1]AppleTree:NationalCollegiate!$C$27</definedName>
    <definedName name="ELLno" localSheetId="1">[1]AppleTree:NationalCollegiate!$B$27</definedName>
    <definedName name="ELLno">[1]AppleTree:NationalCollegiate!$B$27</definedName>
    <definedName name="funds" localSheetId="1">#REF!</definedName>
    <definedName name="funds" localSheetId="22">'[4]OSSE Only'!$A$16:$A$18</definedName>
    <definedName name="funds" localSheetId="24">'[6]OSSE Only'!$A$16:$A$18</definedName>
    <definedName name="funds">'[8]OSSE Only'!$A$16:$A$18</definedName>
    <definedName name="genedamount" localSheetId="1">[1]AppleTree:NationalCollegiate!$C$19</definedName>
    <definedName name="genedamount">[1]AppleTree:NationalCollegiate!$C$19</definedName>
    <definedName name="generalsubtotal" localSheetId="1">[1]AppleTree:NationalCollegiate!$B$19</definedName>
    <definedName name="generalsubtotal">[1]AppleTree:NationalCollegiate!$B$19</definedName>
    <definedName name="grade" localSheetId="1">'[10]OSSE Only'!$A$12:$A$13</definedName>
    <definedName name="grade">'[10]OSSE Only'!$A$12:$A$13</definedName>
    <definedName name="highno" localSheetId="1">[1]AppleTree:NationalCollegiate!$B$14</definedName>
    <definedName name="highno">[1]AppleTree:NationalCollegiate!$B$14</definedName>
    <definedName name="improvement" localSheetId="1">#REF!</definedName>
    <definedName name="improvement" localSheetId="22">'[4]OSSE Only'!$A$9:$A$14</definedName>
    <definedName name="improvement" localSheetId="24">'[6]OSSE Only'!$A$9:$A$14</definedName>
    <definedName name="improvement">'[8]OSSE Only'!$A$9:$A$14</definedName>
    <definedName name="kno" localSheetId="1">[1]AppleTree:NationalCollegiate!$B$8</definedName>
    <definedName name="kno">[1]AppleTree:NationalCollegiate!$B$8</definedName>
    <definedName name="LEA" localSheetId="3">[5]Sheet1!$E$1:$E$62</definedName>
    <definedName name="LEA">Sheet1!$E$1:$E$65</definedName>
    <definedName name="lowerno" localSheetId="1">[1]AppleTree:NationalCollegiate!$B$9</definedName>
    <definedName name="lowerno">[1]AppleTree:NationalCollegiate!$B$9</definedName>
    <definedName name="middleno" localSheetId="1">[1]AppleTree:NationalCollegiate!$B$12</definedName>
    <definedName name="middleno">[1]AppleTree:NationalCollegiate!$B$12</definedName>
    <definedName name="one">Sheet1!#REF!</definedName>
    <definedName name="prekno" localSheetId="1">[1]AppleTree:NationalCollegiate!$B$7</definedName>
    <definedName name="prekno">[1]AppleTree:NationalCollegiate!$B$7</definedName>
    <definedName name="presno" localSheetId="1">[1]AppleTree:NationalCollegiate!$B$6</definedName>
    <definedName name="presno">[1]AppleTree:NationalCollegiate!$B$6</definedName>
    <definedName name="_xlnm.Print_Area" localSheetId="1">'1'!$A$1:$J$60</definedName>
    <definedName name="_xlnm.Print_Area" localSheetId="11">'10'!$A$1:$K$85</definedName>
    <definedName name="_xlnm.Print_Area" localSheetId="12">'11'!$A$1:$J$86</definedName>
    <definedName name="_xlnm.Print_Area" localSheetId="13">'12'!$A$1:$J$419</definedName>
    <definedName name="_xlnm.Print_Area" localSheetId="14">'13'!$A$1:$K$217</definedName>
    <definedName name="_xlnm.Print_Area" localSheetId="15">'14'!$A$1:$K$85</definedName>
    <definedName name="_xlnm.Print_Area" localSheetId="16">'15'!$A$1:$J$68</definedName>
    <definedName name="_xlnm.Print_Area" localSheetId="17">'16'!$A$1:$J$419</definedName>
    <definedName name="_xlnm.Print_Area" localSheetId="18">'17'!$A$1:$K$205</definedName>
    <definedName name="_xlnm.Print_Area" localSheetId="19">'18'!$A$1:$K$85</definedName>
    <definedName name="_xlnm.Print_Area" localSheetId="20">'19'!$A$1:$J$135</definedName>
    <definedName name="_xlnm.Print_Area" localSheetId="22">'21'!$A$1:$I$90</definedName>
    <definedName name="_xlnm.Print_Area" localSheetId="2">'2a'!$A$1:$J$380</definedName>
    <definedName name="_xlnm.Print_Area" localSheetId="3">'2b'!$A$1:$J$292</definedName>
    <definedName name="_xlnm.Print_Area" localSheetId="4">'3'!$A$1:$J$22</definedName>
    <definedName name="_xlnm.Print_Area" localSheetId="5">'4'!$A$1:$J$315</definedName>
    <definedName name="_xlnm.Print_Area" localSheetId="6">'5'!$A$1:$J$420</definedName>
    <definedName name="_xlnm.Print_Area" localSheetId="7">'6'!$A$1:$J$280</definedName>
    <definedName name="_xlnm.Print_Area" localSheetId="8">'7'!$A$1:$K$50</definedName>
    <definedName name="_xlnm.Print_Area" localSheetId="9">'8'!$A$1:$J$420</definedName>
    <definedName name="_xlnm.Print_Area" localSheetId="10">'9'!$A$1:$K$301</definedName>
    <definedName name="_xlnm.Print_Area" localSheetId="0">Contents!$A$1:$J$39</definedName>
    <definedName name="program" localSheetId="20">[7]Sheet1!$A$6:$A$11</definedName>
    <definedName name="program" localSheetId="3">[5]Sheet1!$A$6:$A$11</definedName>
    <definedName name="program">Sheet1!$A$6:$A$11</definedName>
    <definedName name="programs" localSheetId="1">#REF!</definedName>
    <definedName name="programs" localSheetId="22">'[4]OSSE Only'!$A$21:$A$26</definedName>
    <definedName name="programs" localSheetId="24">'[6]OSSE Only'!$A$21:$A$26</definedName>
    <definedName name="programs">'[8]OSSE Only'!$A$21:$A$26</definedName>
    <definedName name="setasides" localSheetId="20">'[7]10'!$C$9:$C$18</definedName>
    <definedName name="setasides" localSheetId="3">'[5]10'!$C$9:$C$18</definedName>
    <definedName name="setasides" localSheetId="8">'7'!$C$9:$C$14</definedName>
    <definedName name="setasides">'10'!$C$9:$C$18</definedName>
    <definedName name="setasides2" localSheetId="20">'[7]14'!$C$9:$C$18</definedName>
    <definedName name="setasides2" localSheetId="3">'[5]14'!$C$9:$C$18</definedName>
    <definedName name="setasides2">'14'!$C$9:$C$18</definedName>
    <definedName name="setasides3" localSheetId="20">'[7]18'!$C$9:$C$18</definedName>
    <definedName name="setasides3" localSheetId="3">'[5]18'!$C$9:$C$18</definedName>
    <definedName name="setasides3">'18'!$C$9:$C$18</definedName>
    <definedName name="signature" localSheetId="3">[5]Sheet1!$A$1:$A$2</definedName>
    <definedName name="signature">Sheet1!$A$1:$A$2</definedName>
    <definedName name="sped1no" localSheetId="1">[1]AppleTree:NationalCollegiate!$B$21</definedName>
    <definedName name="sped1no">[1]AppleTree:NationalCollegiate!$B$21</definedName>
    <definedName name="sped2no" localSheetId="1">[1]AppleTree:NationalCollegiate!$B$22</definedName>
    <definedName name="sped2no">[1]AppleTree:NationalCollegiate!$B$22</definedName>
    <definedName name="sped3no" localSheetId="1">[1]AppleTree:NationalCollegiate!$B$23</definedName>
    <definedName name="sped3no">[1]AppleTree:NationalCollegiate!$B$23</definedName>
    <definedName name="sped4no" localSheetId="1">[1]AppleTree:NationalCollegiate!$B$24</definedName>
    <definedName name="sped4no">[1]AppleTree:NationalCollegiate!$B$24</definedName>
    <definedName name="spedamount" localSheetId="1">[1]AppleTree:NationalCollegiate!$C$25</definedName>
    <definedName name="spedamount">[1]AppleTree:NationalCollegiate!$C$25</definedName>
    <definedName name="spedno" localSheetId="1">[1]AppleTree:NationalCollegiate!$B$17</definedName>
    <definedName name="spedno">[1]AppleTree:NationalCollegiate!$B$17</definedName>
    <definedName name="spedsubtotal" localSheetId="1">[1]AppleTree:NationalCollegiate!$B$25</definedName>
    <definedName name="spedsubtotal">[1]AppleTree:NationalCollegiate!$B$25</definedName>
    <definedName name="staff" localSheetId="1">[11]Reference!$A$7:$A$11</definedName>
    <definedName name="staff">[11]Reference!$A$7:$A$11</definedName>
    <definedName name="status" localSheetId="1">'[10]OSSE Only'!$A$15:$A$19</definedName>
    <definedName name="status">'[10]OSSE Only'!$A$15:$A$19</definedName>
    <definedName name="totalallocation" localSheetId="1">[1]AppleTree:NationalCollegiate!$C$28</definedName>
    <definedName name="totalallocation">[1]AppleTree:NationalCollegiate!$C$28</definedName>
    <definedName name="unESno" localSheetId="1">[1]AppleTree:NationalCollegiate!$B$11</definedName>
    <definedName name="unESno">[1]AppleTree:NationalCollegiate!$B$11</definedName>
    <definedName name="unHSno" localSheetId="1">[1]AppleTree:NationalCollegiate!$B$15</definedName>
    <definedName name="unHSno">[1]AppleTree:NationalCollegiate!$B$15</definedName>
    <definedName name="unMSno" localSheetId="1">[1]AppleTree:NationalCollegiate!$B$13</definedName>
    <definedName name="unMSno">[1]AppleTree:NationalCollegiate!$B$13</definedName>
    <definedName name="upperno" localSheetId="1">[1]AppleTree:NationalCollegiate!$B$10</definedName>
    <definedName name="upperno">[1]AppleTree:NationalCollegiate!$B$10</definedName>
    <definedName name="yes" localSheetId="1">'[3]OSSE Only'!$A$3:$A$4</definedName>
    <definedName name="yes" localSheetId="20">[7]Sheet1!$A$13:$A$14</definedName>
    <definedName name="yes" localSheetId="3">[5]Sheet1!$A$13:$A$14</definedName>
    <definedName name="yes" localSheetId="24">[11]Reference!$A$2:$A$5</definedName>
    <definedName name="yes">Sheet1!$A$13:$A$14</definedName>
    <definedName name="yesno" localSheetId="1">'1'!$L$10:$L$10</definedName>
    <definedName name="yesno" localSheetId="12">#REF!</definedName>
    <definedName name="yesno" localSheetId="13">#REF!</definedName>
    <definedName name="yesno" localSheetId="14">#REF!</definedName>
    <definedName name="yesno" localSheetId="15">#REF!</definedName>
    <definedName name="yesno" localSheetId="16">#REF!</definedName>
    <definedName name="yesno" localSheetId="17">#REF!</definedName>
    <definedName name="yesno" localSheetId="18">#REF!</definedName>
    <definedName name="yesno" localSheetId="19">#REF!</definedName>
    <definedName name="yesno" localSheetId="20">#REF!</definedName>
    <definedName name="yesno" localSheetId="22">'[4]1'!$L$13:$L$14</definedName>
    <definedName name="yesno" localSheetId="2">#REF!</definedName>
    <definedName name="yesno" localSheetId="3">#REF!</definedName>
    <definedName name="yesno" localSheetId="4">#REF!</definedName>
    <definedName name="yesno" localSheetId="5">#REF!</definedName>
    <definedName name="yesno" localSheetId="6">#REF!</definedName>
    <definedName name="yesno" localSheetId="7">#REF!</definedName>
    <definedName name="yesno" localSheetId="8">#REF!</definedName>
    <definedName name="yesno" localSheetId="9">#REF!</definedName>
    <definedName name="yesno" localSheetId="10">#REF!</definedName>
    <definedName name="yesno" localSheetId="24">'[6]1'!$L$13:$L$14</definedName>
    <definedName name="yesno">Sheet1!#REF!</definedName>
    <definedName name="yesorno">[2]Sheet1!$A$9:$A$10</definedName>
  </definedNames>
  <calcPr calcId="145621"/>
</workbook>
</file>

<file path=xl/calcChain.xml><?xml version="1.0" encoding="utf-8"?>
<calcChain xmlns="http://schemas.openxmlformats.org/spreadsheetml/2006/main">
  <c r="G283" i="16" l="1"/>
  <c r="G211" i="16" l="1"/>
  <c r="D86" i="42" l="1"/>
  <c r="D98" i="42"/>
  <c r="M53" i="46"/>
  <c r="M54" i="46"/>
  <c r="M55" i="46"/>
  <c r="M56" i="46"/>
  <c r="M57" i="46"/>
  <c r="G73" i="46"/>
  <c r="D101" i="42"/>
  <c r="G135" i="46"/>
  <c r="L150" i="16"/>
  <c r="M150" i="16" s="1"/>
  <c r="L151" i="16"/>
  <c r="M151" i="16"/>
  <c r="K255" i="5"/>
  <c r="L255" i="5"/>
  <c r="D55" i="42"/>
  <c r="L240" i="16"/>
  <c r="M240" i="16" s="1"/>
  <c r="L241" i="16"/>
  <c r="M241" i="16" s="1"/>
  <c r="L242" i="16"/>
  <c r="M242" i="16"/>
  <c r="L243" i="16"/>
  <c r="M243" i="16" s="1"/>
  <c r="L244" i="16"/>
  <c r="M244" i="16" s="1"/>
  <c r="L245" i="16"/>
  <c r="M245" i="16" s="1"/>
  <c r="G220" i="16"/>
  <c r="L35" i="16"/>
  <c r="M35" i="16" s="1"/>
  <c r="N35" i="16"/>
  <c r="G32" i="20" l="1"/>
  <c r="N202" i="16" l="1"/>
  <c r="L202" i="16"/>
  <c r="M202" i="16" s="1"/>
  <c r="N139" i="16" l="1"/>
  <c r="L139" i="16"/>
  <c r="M139" i="16" s="1"/>
  <c r="L138" i="16"/>
  <c r="N228" i="16"/>
  <c r="L228" i="16"/>
  <c r="M228" i="16" s="1"/>
  <c r="N227" i="16" l="1"/>
  <c r="L227" i="16"/>
  <c r="M227" i="16" s="1"/>
  <c r="N226" i="16"/>
  <c r="L226" i="16"/>
  <c r="M226" i="16"/>
  <c r="N225" i="16"/>
  <c r="L225" i="16"/>
  <c r="M225" i="16" s="1"/>
  <c r="N224" i="16"/>
  <c r="L224" i="16"/>
  <c r="M224" i="16" s="1"/>
  <c r="N223" i="16"/>
  <c r="L223" i="16"/>
  <c r="M223" i="16" s="1"/>
  <c r="N54" i="16"/>
  <c r="L54" i="16"/>
  <c r="M54" i="16" s="1"/>
  <c r="N49" i="46"/>
  <c r="L49" i="46"/>
  <c r="M49" i="46"/>
  <c r="L14" i="46"/>
  <c r="M14" i="46"/>
  <c r="N14" i="46"/>
  <c r="L15" i="46"/>
  <c r="M15" i="46"/>
  <c r="N15" i="46"/>
  <c r="L16" i="46"/>
  <c r="M16" i="46"/>
  <c r="N16" i="46"/>
  <c r="L17" i="46"/>
  <c r="M17" i="46"/>
  <c r="N17" i="46"/>
  <c r="L18" i="46"/>
  <c r="M18" i="46"/>
  <c r="N18" i="46"/>
  <c r="L19" i="46"/>
  <c r="M19" i="46"/>
  <c r="N19" i="46"/>
  <c r="L20" i="46"/>
  <c r="M20" i="46"/>
  <c r="N20" i="46"/>
  <c r="L21" i="46"/>
  <c r="M21" i="46"/>
  <c r="N21" i="46"/>
  <c r="L22" i="46"/>
  <c r="M22" i="46"/>
  <c r="N22" i="46"/>
  <c r="L23" i="46"/>
  <c r="M23" i="46"/>
  <c r="N23" i="46"/>
  <c r="L24" i="46"/>
  <c r="M24" i="46"/>
  <c r="N24" i="46"/>
  <c r="L25" i="46"/>
  <c r="M25" i="46"/>
  <c r="N25" i="46"/>
  <c r="L26" i="46"/>
  <c r="M26" i="46"/>
  <c r="N26" i="46"/>
  <c r="L27" i="46"/>
  <c r="M27" i="46"/>
  <c r="N27" i="46"/>
  <c r="L28" i="46"/>
  <c r="M28" i="46"/>
  <c r="N28" i="46"/>
  <c r="L29" i="46"/>
  <c r="M29" i="46"/>
  <c r="N29" i="46"/>
  <c r="L30" i="46"/>
  <c r="M30" i="46"/>
  <c r="N30" i="46"/>
  <c r="L31" i="46"/>
  <c r="M31" i="46"/>
  <c r="N31" i="46"/>
  <c r="L32" i="46"/>
  <c r="M32" i="46"/>
  <c r="N32" i="46"/>
  <c r="L33" i="46"/>
  <c r="M33" i="46"/>
  <c r="N33" i="46"/>
  <c r="L34" i="46"/>
  <c r="M34" i="46"/>
  <c r="N34" i="46"/>
  <c r="L35" i="46"/>
  <c r="M35" i="46"/>
  <c r="N35" i="46"/>
  <c r="L36" i="46"/>
  <c r="M36" i="46"/>
  <c r="N36" i="46"/>
  <c r="L37" i="46"/>
  <c r="M37" i="46"/>
  <c r="N37" i="46"/>
  <c r="F38" i="46"/>
  <c r="K38" i="46"/>
  <c r="L48" i="46"/>
  <c r="M48" i="46"/>
  <c r="N48" i="46"/>
  <c r="L50" i="46"/>
  <c r="M50" i="46"/>
  <c r="N50" i="46"/>
  <c r="L51" i="46"/>
  <c r="M51" i="46"/>
  <c r="N51" i="46"/>
  <c r="L52" i="46"/>
  <c r="M52" i="46"/>
  <c r="N52" i="46"/>
  <c r="L57" i="46"/>
  <c r="N57" i="46"/>
  <c r="L58" i="46"/>
  <c r="M58" i="46"/>
  <c r="N58" i="46"/>
  <c r="L59" i="46"/>
  <c r="M59" i="46"/>
  <c r="N59" i="46"/>
  <c r="L60" i="46"/>
  <c r="M60" i="46"/>
  <c r="N60" i="46"/>
  <c r="L61" i="46"/>
  <c r="M61" i="46"/>
  <c r="N61" i="46"/>
  <c r="L62" i="46"/>
  <c r="M62" i="46"/>
  <c r="N62" i="46"/>
  <c r="L63" i="46"/>
  <c r="M63" i="46"/>
  <c r="N63" i="46"/>
  <c r="L64" i="46"/>
  <c r="M64" i="46"/>
  <c r="N64" i="46"/>
  <c r="L65" i="46"/>
  <c r="M65" i="46"/>
  <c r="N65" i="46"/>
  <c r="L66" i="46"/>
  <c r="M66" i="46"/>
  <c r="N66" i="46"/>
  <c r="L67" i="46"/>
  <c r="M67" i="46"/>
  <c r="N67" i="46"/>
  <c r="L68" i="46"/>
  <c r="M68" i="46"/>
  <c r="N68" i="46"/>
  <c r="L69" i="46"/>
  <c r="M69" i="46"/>
  <c r="N69" i="46"/>
  <c r="L70" i="46"/>
  <c r="M70" i="46"/>
  <c r="N70" i="46"/>
  <c r="L71" i="46"/>
  <c r="M71" i="46"/>
  <c r="N71" i="46"/>
  <c r="L72" i="46"/>
  <c r="M72" i="46"/>
  <c r="N72" i="46"/>
  <c r="L83" i="46"/>
  <c r="M83" i="46"/>
  <c r="N83" i="46"/>
  <c r="L84" i="46"/>
  <c r="M84" i="46"/>
  <c r="N84" i="46"/>
  <c r="L85" i="46"/>
  <c r="M85" i="46"/>
  <c r="N85" i="46"/>
  <c r="L86" i="46"/>
  <c r="M86" i="46"/>
  <c r="N86" i="46"/>
  <c r="L87" i="46"/>
  <c r="M87" i="46"/>
  <c r="N87" i="46"/>
  <c r="L88" i="46"/>
  <c r="M88" i="46"/>
  <c r="N88" i="46"/>
  <c r="L89" i="46"/>
  <c r="M89" i="46"/>
  <c r="N89" i="46"/>
  <c r="L90" i="46"/>
  <c r="M90" i="46"/>
  <c r="N90" i="46"/>
  <c r="L91" i="46"/>
  <c r="M91" i="46"/>
  <c r="N91" i="46"/>
  <c r="L92" i="46"/>
  <c r="M92" i="46"/>
  <c r="N92" i="46"/>
  <c r="L93" i="46"/>
  <c r="M93" i="46"/>
  <c r="N93" i="46"/>
  <c r="L94" i="46"/>
  <c r="M94" i="46"/>
  <c r="N94" i="46"/>
  <c r="L95" i="46"/>
  <c r="M95" i="46"/>
  <c r="N95" i="46"/>
  <c r="L96" i="46"/>
  <c r="M96" i="46"/>
  <c r="N96" i="46"/>
  <c r="L97" i="46"/>
  <c r="M97" i="46"/>
  <c r="N97" i="46"/>
  <c r="L98" i="46"/>
  <c r="M98" i="46"/>
  <c r="N98" i="46"/>
  <c r="L99" i="46"/>
  <c r="M99" i="46"/>
  <c r="N99" i="46"/>
  <c r="L100" i="46"/>
  <c r="M100" i="46"/>
  <c r="N100" i="46"/>
  <c r="L101" i="46"/>
  <c r="M101" i="46"/>
  <c r="N101" i="46"/>
  <c r="L102" i="46"/>
  <c r="M102" i="46"/>
  <c r="N102" i="46"/>
  <c r="L103" i="46"/>
  <c r="M103" i="46"/>
  <c r="N103" i="46"/>
  <c r="L104" i="46"/>
  <c r="M104" i="46"/>
  <c r="N104" i="46"/>
  <c r="L105" i="46"/>
  <c r="M105" i="46"/>
  <c r="N105" i="46"/>
  <c r="L106" i="46"/>
  <c r="M106" i="46"/>
  <c r="N106" i="46"/>
  <c r="L107" i="46"/>
  <c r="M107" i="46"/>
  <c r="N107" i="46"/>
  <c r="G108" i="46"/>
  <c r="L118" i="46"/>
  <c r="M118" i="46"/>
  <c r="N118" i="46"/>
  <c r="L119" i="46"/>
  <c r="M119" i="46"/>
  <c r="N119" i="46"/>
  <c r="L120" i="46"/>
  <c r="M120" i="46"/>
  <c r="N120" i="46"/>
  <c r="L121" i="46"/>
  <c r="M121" i="46"/>
  <c r="N121" i="46"/>
  <c r="L122" i="46"/>
  <c r="M122" i="46"/>
  <c r="N122" i="46"/>
  <c r="L123" i="46"/>
  <c r="M123" i="46"/>
  <c r="N123" i="46"/>
  <c r="P123" i="46"/>
  <c r="L124" i="46"/>
  <c r="M124" i="46"/>
  <c r="N124" i="46"/>
  <c r="L125" i="46"/>
  <c r="M125" i="46"/>
  <c r="N125" i="46"/>
  <c r="L126" i="46"/>
  <c r="M126" i="46"/>
  <c r="N126" i="46"/>
  <c r="L127" i="46"/>
  <c r="M127" i="46"/>
  <c r="N127" i="46"/>
  <c r="L128" i="46"/>
  <c r="M128" i="46"/>
  <c r="N128" i="46"/>
  <c r="L129" i="46"/>
  <c r="M129" i="46"/>
  <c r="N129" i="46"/>
  <c r="L130" i="46"/>
  <c r="M130" i="46"/>
  <c r="N130" i="46"/>
  <c r="L131" i="46"/>
  <c r="M131" i="46"/>
  <c r="N131" i="46"/>
  <c r="L132" i="46"/>
  <c r="M132" i="46"/>
  <c r="N132" i="46"/>
  <c r="L133" i="46"/>
  <c r="M133" i="46"/>
  <c r="N133" i="46"/>
  <c r="L134" i="46"/>
  <c r="M134" i="46"/>
  <c r="N134" i="46"/>
  <c r="L145" i="46"/>
  <c r="M145" i="46"/>
  <c r="N145" i="46"/>
  <c r="L146" i="46"/>
  <c r="M146" i="46"/>
  <c r="N146" i="46"/>
  <c r="L147" i="46"/>
  <c r="M147" i="46"/>
  <c r="N147" i="46"/>
  <c r="L148" i="46"/>
  <c r="M148" i="46"/>
  <c r="N148" i="46"/>
  <c r="L149" i="46"/>
  <c r="M149" i="46"/>
  <c r="N149" i="46"/>
  <c r="L150" i="46"/>
  <c r="M150" i="46"/>
  <c r="N150" i="46"/>
  <c r="L151" i="46"/>
  <c r="M151" i="46"/>
  <c r="N151" i="46"/>
  <c r="L152" i="46"/>
  <c r="M152" i="46"/>
  <c r="N152" i="46"/>
  <c r="L153" i="46"/>
  <c r="M153" i="46"/>
  <c r="N153" i="46"/>
  <c r="L154" i="46"/>
  <c r="M154" i="46"/>
  <c r="N154" i="46"/>
  <c r="L155" i="46"/>
  <c r="M155" i="46"/>
  <c r="N155" i="46"/>
  <c r="L156" i="46"/>
  <c r="M156" i="46"/>
  <c r="N156" i="46"/>
  <c r="L157" i="46"/>
  <c r="M157" i="46"/>
  <c r="N157" i="46"/>
  <c r="L158" i="46"/>
  <c r="M158" i="46"/>
  <c r="N158" i="46"/>
  <c r="L159" i="46"/>
  <c r="M159" i="46"/>
  <c r="N159" i="46"/>
  <c r="L160" i="46"/>
  <c r="M160" i="46"/>
  <c r="N160" i="46"/>
  <c r="L161" i="46"/>
  <c r="M161" i="46"/>
  <c r="N161" i="46"/>
  <c r="L162" i="46"/>
  <c r="M162" i="46"/>
  <c r="N162" i="46"/>
  <c r="L163" i="46"/>
  <c r="M163" i="46"/>
  <c r="N163" i="46"/>
  <c r="L164" i="46"/>
  <c r="M164" i="46"/>
  <c r="N164" i="46"/>
  <c r="L165" i="46"/>
  <c r="M165" i="46"/>
  <c r="N165" i="46"/>
  <c r="L166" i="46"/>
  <c r="M166" i="46"/>
  <c r="N166" i="46"/>
  <c r="L167" i="46"/>
  <c r="M167" i="46"/>
  <c r="N167" i="46"/>
  <c r="L168" i="46"/>
  <c r="M168" i="46"/>
  <c r="N168" i="46"/>
  <c r="L169" i="46"/>
  <c r="M169" i="46"/>
  <c r="N169" i="46"/>
  <c r="G170" i="46"/>
  <c r="L180" i="46"/>
  <c r="M180" i="46"/>
  <c r="N180" i="46"/>
  <c r="L181" i="46"/>
  <c r="M181" i="46"/>
  <c r="N181" i="46"/>
  <c r="L182" i="46"/>
  <c r="M182" i="46"/>
  <c r="N182" i="46"/>
  <c r="L183" i="46"/>
  <c r="M183" i="46"/>
  <c r="N183" i="46"/>
  <c r="L184" i="46"/>
  <c r="M184" i="46"/>
  <c r="N184" i="46"/>
  <c r="L185" i="46"/>
  <c r="M185" i="46"/>
  <c r="N185" i="46"/>
  <c r="L186" i="46"/>
  <c r="M186" i="46"/>
  <c r="N186" i="46"/>
  <c r="L187" i="46"/>
  <c r="M187" i="46"/>
  <c r="N187" i="46"/>
  <c r="L188" i="46"/>
  <c r="M188" i="46"/>
  <c r="N188" i="46"/>
  <c r="L189" i="46"/>
  <c r="M189" i="46"/>
  <c r="N189" i="46"/>
  <c r="L190" i="46"/>
  <c r="M190" i="46"/>
  <c r="N190" i="46"/>
  <c r="L191" i="46"/>
  <c r="M191" i="46"/>
  <c r="N191" i="46"/>
  <c r="L192" i="46"/>
  <c r="M192" i="46"/>
  <c r="N192" i="46"/>
  <c r="L193" i="46"/>
  <c r="M193" i="46"/>
  <c r="N193" i="46"/>
  <c r="L194" i="46"/>
  <c r="M194" i="46"/>
  <c r="N194" i="46"/>
  <c r="L195" i="46"/>
  <c r="M195" i="46"/>
  <c r="N195" i="46"/>
  <c r="L196" i="46"/>
  <c r="M196" i="46"/>
  <c r="N196" i="46"/>
  <c r="L197" i="46"/>
  <c r="M197" i="46"/>
  <c r="N197" i="46"/>
  <c r="L198" i="46"/>
  <c r="M198" i="46"/>
  <c r="N198" i="46"/>
  <c r="L199" i="46"/>
  <c r="M199" i="46"/>
  <c r="N199" i="46"/>
  <c r="L200" i="46"/>
  <c r="M200" i="46"/>
  <c r="N200" i="46"/>
  <c r="L201" i="46"/>
  <c r="M201" i="46"/>
  <c r="N201" i="46"/>
  <c r="L202" i="46"/>
  <c r="M202" i="46"/>
  <c r="N202" i="46"/>
  <c r="L203" i="46"/>
  <c r="M203" i="46"/>
  <c r="N203" i="46"/>
  <c r="L204" i="46"/>
  <c r="M204" i="46"/>
  <c r="N204" i="46"/>
  <c r="G205" i="46"/>
  <c r="P137" i="46"/>
  <c r="M135" i="46"/>
  <c r="P32" i="46"/>
  <c r="P33" i="46" s="1"/>
  <c r="M170" i="46"/>
  <c r="M38" i="46"/>
  <c r="M205" i="46"/>
  <c r="M73" i="46"/>
  <c r="D99" i="42" s="1"/>
  <c r="M108" i="46"/>
  <c r="N283" i="16"/>
  <c r="L283" i="16"/>
  <c r="M283" i="16" s="1"/>
  <c r="N149" i="16"/>
  <c r="L149" i="16"/>
  <c r="M149" i="16" s="1"/>
  <c r="N148" i="16"/>
  <c r="L148" i="16"/>
  <c r="M148" i="16" s="1"/>
  <c r="N147" i="16"/>
  <c r="L147" i="16"/>
  <c r="M147" i="16"/>
  <c r="N146" i="16"/>
  <c r="L146" i="16"/>
  <c r="M146" i="16" s="1"/>
  <c r="N145" i="16"/>
  <c r="L145" i="16"/>
  <c r="M145" i="16" s="1"/>
  <c r="P193" i="20"/>
  <c r="F13" i="44"/>
  <c r="M212" i="20"/>
  <c r="M194" i="20"/>
  <c r="L195" i="20"/>
  <c r="M195" i="20"/>
  <c r="L196" i="20"/>
  <c r="M196" i="20"/>
  <c r="L197" i="20"/>
  <c r="M197" i="20"/>
  <c r="L198" i="20"/>
  <c r="M198" i="20"/>
  <c r="L199" i="20"/>
  <c r="M199" i="20"/>
  <c r="L200" i="20"/>
  <c r="M200" i="20"/>
  <c r="L201" i="20"/>
  <c r="M201" i="20"/>
  <c r="L202" i="20"/>
  <c r="M202" i="20"/>
  <c r="L203" i="20"/>
  <c r="M203" i="20"/>
  <c r="L204" i="20"/>
  <c r="M204" i="20"/>
  <c r="L205" i="20"/>
  <c r="M205" i="20"/>
  <c r="L206" i="20"/>
  <c r="M206" i="20"/>
  <c r="L207" i="20"/>
  <c r="M207" i="20"/>
  <c r="L208" i="20"/>
  <c r="M208" i="20"/>
  <c r="L209" i="20"/>
  <c r="M209" i="20"/>
  <c r="L210" i="20"/>
  <c r="M210" i="20"/>
  <c r="L211" i="20"/>
  <c r="M211" i="20"/>
  <c r="L212" i="20"/>
  <c r="L213" i="20"/>
  <c r="M213" i="20"/>
  <c r="L214" i="20"/>
  <c r="M214" i="20"/>
  <c r="L215" i="20"/>
  <c r="M215" i="20"/>
  <c r="L216" i="20"/>
  <c r="L194" i="20"/>
  <c r="N197" i="20"/>
  <c r="L128" i="20"/>
  <c r="M127" i="20"/>
  <c r="L129" i="20"/>
  <c r="M128" i="20"/>
  <c r="N127" i="20"/>
  <c r="L205" i="16"/>
  <c r="M205" i="16" s="1"/>
  <c r="L206" i="16"/>
  <c r="M206" i="16" s="1"/>
  <c r="L207" i="16"/>
  <c r="M207" i="16" s="1"/>
  <c r="L208" i="16"/>
  <c r="M208" i="16" s="1"/>
  <c r="L209" i="16"/>
  <c r="M209" i="16" s="1"/>
  <c r="N205" i="16"/>
  <c r="N206" i="16"/>
  <c r="N207" i="16"/>
  <c r="N208" i="16"/>
  <c r="N109" i="16"/>
  <c r="F125" i="16"/>
  <c r="N15" i="16"/>
  <c r="N16" i="16"/>
  <c r="N17" i="16"/>
  <c r="N18" i="16"/>
  <c r="N19" i="16"/>
  <c r="N20" i="16"/>
  <c r="N21" i="16"/>
  <c r="N22" i="16"/>
  <c r="N23" i="16"/>
  <c r="N24" i="16"/>
  <c r="N25" i="16"/>
  <c r="N26" i="16"/>
  <c r="N27" i="16"/>
  <c r="N28" i="16"/>
  <c r="N29" i="16"/>
  <c r="N30" i="16"/>
  <c r="N31" i="16"/>
  <c r="N32" i="16"/>
  <c r="N33" i="16"/>
  <c r="N34" i="16"/>
  <c r="N36" i="16"/>
  <c r="N37" i="16"/>
  <c r="N38" i="16"/>
  <c r="N39" i="16"/>
  <c r="N40" i="16"/>
  <c r="N41" i="16"/>
  <c r="N42" i="16"/>
  <c r="N43" i="16"/>
  <c r="N44" i="16"/>
  <c r="N45" i="16"/>
  <c r="N46" i="16"/>
  <c r="N47" i="16"/>
  <c r="N48" i="16"/>
  <c r="N49" i="16"/>
  <c r="N50" i="16"/>
  <c r="N51" i="16"/>
  <c r="N52" i="16"/>
  <c r="N53" i="16"/>
  <c r="N55" i="16"/>
  <c r="N56" i="16"/>
  <c r="N57" i="16"/>
  <c r="N58" i="16"/>
  <c r="N59" i="16"/>
  <c r="N60" i="16"/>
  <c r="N61" i="16"/>
  <c r="N62" i="16"/>
  <c r="N63" i="16"/>
  <c r="N64" i="16"/>
  <c r="N65" i="16"/>
  <c r="N66" i="16"/>
  <c r="N67" i="16"/>
  <c r="N68" i="16"/>
  <c r="N69" i="16"/>
  <c r="N70" i="16"/>
  <c r="N71" i="16"/>
  <c r="N72" i="16"/>
  <c r="N73" i="16"/>
  <c r="N74" i="16"/>
  <c r="N75" i="16"/>
  <c r="N76" i="16"/>
  <c r="N77" i="16"/>
  <c r="N78" i="16"/>
  <c r="N79" i="16"/>
  <c r="N80" i="16"/>
  <c r="N81" i="16"/>
  <c r="N82" i="16"/>
  <c r="N83" i="16"/>
  <c r="N84" i="16"/>
  <c r="N85" i="16"/>
  <c r="N86" i="16"/>
  <c r="N87" i="16"/>
  <c r="N88" i="16"/>
  <c r="N89" i="16"/>
  <c r="N90" i="16"/>
  <c r="N91" i="16"/>
  <c r="N92" i="16"/>
  <c r="N93" i="16"/>
  <c r="N94" i="16"/>
  <c r="N95" i="16"/>
  <c r="N96" i="16"/>
  <c r="N97" i="16"/>
  <c r="N98" i="16"/>
  <c r="N99" i="16"/>
  <c r="N100" i="16"/>
  <c r="N101" i="16"/>
  <c r="N102" i="16"/>
  <c r="N103" i="16"/>
  <c r="N104" i="16"/>
  <c r="N105" i="16"/>
  <c r="N106" i="16"/>
  <c r="N107" i="16"/>
  <c r="N108" i="16"/>
  <c r="N110" i="16"/>
  <c r="N111" i="16"/>
  <c r="N112" i="16"/>
  <c r="N113" i="16"/>
  <c r="N114" i="16"/>
  <c r="N115" i="16"/>
  <c r="N116" i="16"/>
  <c r="N117" i="16"/>
  <c r="N118" i="16"/>
  <c r="N119" i="16"/>
  <c r="N120" i="16"/>
  <c r="N121" i="16"/>
  <c r="N122" i="16"/>
  <c r="N123" i="16"/>
  <c r="L99" i="16"/>
  <c r="M99" i="16" s="1"/>
  <c r="L100" i="16"/>
  <c r="M100" i="16" s="1"/>
  <c r="L101" i="16"/>
  <c r="M101" i="16" s="1"/>
  <c r="L102" i="16"/>
  <c r="M102" i="16" s="1"/>
  <c r="L103" i="16"/>
  <c r="M103" i="16" s="1"/>
  <c r="O169" i="16"/>
  <c r="N124" i="16"/>
  <c r="L124" i="16"/>
  <c r="M124" i="16" s="1"/>
  <c r="L123" i="16"/>
  <c r="M123" i="16" s="1"/>
  <c r="L122" i="16"/>
  <c r="M122" i="16" s="1"/>
  <c r="L121" i="16"/>
  <c r="M121" i="16" s="1"/>
  <c r="L120" i="16"/>
  <c r="M120" i="16" s="1"/>
  <c r="L119" i="16"/>
  <c r="M119" i="16" s="1"/>
  <c r="L118" i="16"/>
  <c r="M118" i="16" s="1"/>
  <c r="L117" i="16"/>
  <c r="M117" i="16" s="1"/>
  <c r="L116" i="16"/>
  <c r="M116" i="16" s="1"/>
  <c r="L115" i="16"/>
  <c r="M115" i="16" s="1"/>
  <c r="L114" i="16"/>
  <c r="M114" i="16" s="1"/>
  <c r="L113" i="16"/>
  <c r="M113" i="16" s="1"/>
  <c r="L112" i="16"/>
  <c r="M112" i="16" s="1"/>
  <c r="L111" i="16"/>
  <c r="M111" i="16" s="1"/>
  <c r="L110" i="16"/>
  <c r="M110" i="16" s="1"/>
  <c r="L109" i="16"/>
  <c r="M109" i="16" s="1"/>
  <c r="L108" i="16"/>
  <c r="M108" i="16" s="1"/>
  <c r="L107" i="16"/>
  <c r="M107" i="16" s="1"/>
  <c r="L106" i="16"/>
  <c r="M106" i="16" s="1"/>
  <c r="L105" i="16"/>
  <c r="M105" i="16" s="1"/>
  <c r="L104" i="16"/>
  <c r="M104" i="16" s="1"/>
  <c r="L98" i="16"/>
  <c r="M98" i="16" s="1"/>
  <c r="L97" i="16"/>
  <c r="M97" i="16" s="1"/>
  <c r="L96" i="16"/>
  <c r="M96" i="16" s="1"/>
  <c r="L95" i="16"/>
  <c r="M95" i="16" s="1"/>
  <c r="L94" i="16"/>
  <c r="M94" i="16" s="1"/>
  <c r="L93" i="16"/>
  <c r="M93" i="16" s="1"/>
  <c r="L92" i="16"/>
  <c r="M92" i="16" s="1"/>
  <c r="L91" i="16"/>
  <c r="M91" i="16" s="1"/>
  <c r="L90" i="16"/>
  <c r="M90" i="16" s="1"/>
  <c r="L89" i="16"/>
  <c r="M89" i="16"/>
  <c r="L88" i="16"/>
  <c r="M88" i="16" s="1"/>
  <c r="L87" i="16"/>
  <c r="M87" i="16" s="1"/>
  <c r="L86" i="16"/>
  <c r="M86" i="16" s="1"/>
  <c r="L85" i="16"/>
  <c r="M85" i="16" s="1"/>
  <c r="L84" i="16"/>
  <c r="M84" i="16" s="1"/>
  <c r="L83" i="16"/>
  <c r="M83" i="16" s="1"/>
  <c r="L82" i="16"/>
  <c r="M82" i="16" s="1"/>
  <c r="L81" i="16"/>
  <c r="M81" i="16" s="1"/>
  <c r="L80" i="16"/>
  <c r="M80" i="16" s="1"/>
  <c r="L79" i="16"/>
  <c r="M79" i="16" s="1"/>
  <c r="L78" i="16"/>
  <c r="M78" i="16" s="1"/>
  <c r="L77" i="16"/>
  <c r="M77" i="16" s="1"/>
  <c r="L76" i="16"/>
  <c r="M76" i="16" s="1"/>
  <c r="L75" i="16"/>
  <c r="M75" i="16" s="1"/>
  <c r="L74" i="16"/>
  <c r="M74" i="16" s="1"/>
  <c r="L73" i="16"/>
  <c r="M73" i="16" s="1"/>
  <c r="L72" i="16"/>
  <c r="M72" i="16" s="1"/>
  <c r="L71" i="16"/>
  <c r="M71" i="16" s="1"/>
  <c r="L70" i="16"/>
  <c r="M70" i="16" s="1"/>
  <c r="L69" i="16"/>
  <c r="M69" i="16" s="1"/>
  <c r="L68" i="16"/>
  <c r="M68" i="16" s="1"/>
  <c r="L67" i="16"/>
  <c r="M67" i="16" s="1"/>
  <c r="L66" i="16"/>
  <c r="M66" i="16" s="1"/>
  <c r="L65" i="16"/>
  <c r="M65" i="16" s="1"/>
  <c r="L64" i="16"/>
  <c r="M64" i="16" s="1"/>
  <c r="L63" i="16"/>
  <c r="M63" i="16" s="1"/>
  <c r="L62" i="16"/>
  <c r="M62" i="16" s="1"/>
  <c r="L61" i="16"/>
  <c r="M61" i="16" s="1"/>
  <c r="L60" i="16"/>
  <c r="M60" i="16" s="1"/>
  <c r="L59" i="16"/>
  <c r="M59" i="16" s="1"/>
  <c r="L58" i="16"/>
  <c r="M58" i="16" s="1"/>
  <c r="L57" i="16"/>
  <c r="M57" i="16" s="1"/>
  <c r="L56" i="16"/>
  <c r="M56" i="16" s="1"/>
  <c r="L55" i="16"/>
  <c r="M55" i="16" s="1"/>
  <c r="L53" i="16"/>
  <c r="M53" i="16" s="1"/>
  <c r="L52" i="16"/>
  <c r="M52" i="16" s="1"/>
  <c r="L51" i="16"/>
  <c r="M51" i="16" s="1"/>
  <c r="L50" i="16"/>
  <c r="M50" i="16" s="1"/>
  <c r="L49" i="16"/>
  <c r="M49" i="16" s="1"/>
  <c r="L48" i="16"/>
  <c r="M48" i="16" s="1"/>
  <c r="L47" i="16"/>
  <c r="M47" i="16" s="1"/>
  <c r="L46" i="16"/>
  <c r="M46" i="16" s="1"/>
  <c r="L45" i="16"/>
  <c r="M45" i="16" s="1"/>
  <c r="L44" i="16"/>
  <c r="M44" i="16" s="1"/>
  <c r="L43" i="16"/>
  <c r="M43" i="16" s="1"/>
  <c r="L42" i="16"/>
  <c r="M42" i="16" s="1"/>
  <c r="L41" i="16"/>
  <c r="M41" i="16" s="1"/>
  <c r="L40" i="16"/>
  <c r="M40" i="16" s="1"/>
  <c r="L39" i="16"/>
  <c r="M39" i="16" s="1"/>
  <c r="L38" i="16"/>
  <c r="M38" i="16" s="1"/>
  <c r="L37" i="16"/>
  <c r="M37" i="16" s="1"/>
  <c r="L36" i="16"/>
  <c r="M36" i="16" s="1"/>
  <c r="L34" i="16"/>
  <c r="M34" i="16" s="1"/>
  <c r="L33" i="16"/>
  <c r="M33" i="16" s="1"/>
  <c r="L32" i="16"/>
  <c r="M32" i="16" s="1"/>
  <c r="L31" i="16"/>
  <c r="M31" i="16" s="1"/>
  <c r="L30" i="16"/>
  <c r="M30" i="16" s="1"/>
  <c r="L29" i="16"/>
  <c r="M29" i="16" s="1"/>
  <c r="L28" i="16"/>
  <c r="M28" i="16" s="1"/>
  <c r="L27" i="16"/>
  <c r="M27" i="16" s="1"/>
  <c r="L26" i="16"/>
  <c r="M26" i="16" s="1"/>
  <c r="L25" i="16"/>
  <c r="M25" i="16" s="1"/>
  <c r="L24" i="16"/>
  <c r="M24" i="16" s="1"/>
  <c r="L23" i="16"/>
  <c r="M23" i="16" s="1"/>
  <c r="L22" i="16"/>
  <c r="M22" i="16" s="1"/>
  <c r="L21" i="16"/>
  <c r="M21" i="16" s="1"/>
  <c r="L20" i="16"/>
  <c r="M20" i="16" s="1"/>
  <c r="L19" i="16"/>
  <c r="M19" i="16" s="1"/>
  <c r="L18" i="16"/>
  <c r="M18" i="16" s="1"/>
  <c r="L17" i="16"/>
  <c r="M17" i="16" s="1"/>
  <c r="L16" i="16"/>
  <c r="M16" i="16" s="1"/>
  <c r="N154" i="16"/>
  <c r="L154" i="16"/>
  <c r="M154" i="16" s="1"/>
  <c r="N153" i="16"/>
  <c r="L153" i="16"/>
  <c r="M153" i="16" s="1"/>
  <c r="N152" i="16"/>
  <c r="L152" i="16"/>
  <c r="M152" i="16" s="1"/>
  <c r="N144" i="16"/>
  <c r="L144" i="16"/>
  <c r="M144" i="16" s="1"/>
  <c r="N143" i="16"/>
  <c r="L143" i="16"/>
  <c r="M143" i="16" s="1"/>
  <c r="N142" i="16"/>
  <c r="L142" i="16"/>
  <c r="M142" i="16" s="1"/>
  <c r="N141" i="16"/>
  <c r="L141" i="16"/>
  <c r="M141" i="16" s="1"/>
  <c r="N140" i="16"/>
  <c r="L140" i="16"/>
  <c r="M140" i="16" s="1"/>
  <c r="N138" i="16"/>
  <c r="M138" i="16"/>
  <c r="N137" i="16"/>
  <c r="L137" i="16"/>
  <c r="M137" i="16" s="1"/>
  <c r="N136" i="16"/>
  <c r="L136" i="16"/>
  <c r="M136" i="16" s="1"/>
  <c r="N135" i="16"/>
  <c r="L135" i="16"/>
  <c r="M135" i="16" s="1"/>
  <c r="N189" i="16"/>
  <c r="L189" i="16"/>
  <c r="M189" i="16" s="1"/>
  <c r="N188" i="16"/>
  <c r="L188" i="16"/>
  <c r="M188" i="16" s="1"/>
  <c r="N187" i="16"/>
  <c r="L187" i="16"/>
  <c r="M187" i="16" s="1"/>
  <c r="N186" i="16"/>
  <c r="L186" i="16"/>
  <c r="M186" i="16" s="1"/>
  <c r="N185" i="16"/>
  <c r="L185" i="16"/>
  <c r="M185" i="16" s="1"/>
  <c r="N184" i="16"/>
  <c r="L184" i="16"/>
  <c r="M184" i="16" s="1"/>
  <c r="N183" i="16"/>
  <c r="L183" i="16"/>
  <c r="M183" i="16" s="1"/>
  <c r="N182" i="16"/>
  <c r="L182" i="16"/>
  <c r="M182" i="16" s="1"/>
  <c r="N181" i="16"/>
  <c r="L181" i="16"/>
  <c r="M181" i="16" s="1"/>
  <c r="N180" i="16"/>
  <c r="L180" i="16"/>
  <c r="M180" i="16" s="1"/>
  <c r="N179" i="16"/>
  <c r="L179" i="16"/>
  <c r="M179" i="16" s="1"/>
  <c r="N178" i="16"/>
  <c r="L178" i="16"/>
  <c r="M178" i="16" s="1"/>
  <c r="N177" i="16"/>
  <c r="L177" i="16"/>
  <c r="M177" i="16" s="1"/>
  <c r="N176" i="16"/>
  <c r="L176" i="16"/>
  <c r="M176" i="16" s="1"/>
  <c r="N175" i="16"/>
  <c r="L175" i="16"/>
  <c r="M175" i="16" s="1"/>
  <c r="N174" i="16"/>
  <c r="L174" i="16"/>
  <c r="M174" i="16" s="1"/>
  <c r="N173" i="16"/>
  <c r="L173" i="16"/>
  <c r="M173" i="16" s="1"/>
  <c r="N172" i="16"/>
  <c r="L172" i="16"/>
  <c r="M172" i="16" s="1"/>
  <c r="N171" i="16"/>
  <c r="L171" i="16"/>
  <c r="M171" i="16" s="1"/>
  <c r="N170" i="16"/>
  <c r="L170" i="16"/>
  <c r="M170" i="16" s="1"/>
  <c r="N169" i="16"/>
  <c r="L169" i="16"/>
  <c r="M169" i="16" s="1"/>
  <c r="N168" i="16"/>
  <c r="L168" i="16"/>
  <c r="M168" i="16" s="1"/>
  <c r="N167" i="16"/>
  <c r="L167" i="16"/>
  <c r="M167" i="16" s="1"/>
  <c r="N166" i="16"/>
  <c r="L166" i="16"/>
  <c r="M166" i="16" s="1"/>
  <c r="N165" i="16"/>
  <c r="L165" i="16"/>
  <c r="M165" i="16" s="1"/>
  <c r="N229" i="16"/>
  <c r="L229" i="16"/>
  <c r="M229" i="16" s="1"/>
  <c r="N262" i="16"/>
  <c r="L262" i="16"/>
  <c r="M262" i="16" s="1"/>
  <c r="N264" i="16"/>
  <c r="L264" i="16"/>
  <c r="M264" i="16" s="1"/>
  <c r="N263" i="16"/>
  <c r="L263" i="16"/>
  <c r="M263" i="16" s="1"/>
  <c r="N261" i="16"/>
  <c r="L261" i="16"/>
  <c r="M261" i="16" s="1"/>
  <c r="N260" i="16"/>
  <c r="L260" i="16"/>
  <c r="M260" i="16" s="1"/>
  <c r="N259" i="16"/>
  <c r="L259" i="16"/>
  <c r="M259" i="16" s="1"/>
  <c r="N258" i="16"/>
  <c r="L258" i="16"/>
  <c r="M258" i="16" s="1"/>
  <c r="N257" i="16"/>
  <c r="L257" i="16"/>
  <c r="M257" i="16" s="1"/>
  <c r="N256" i="16"/>
  <c r="L256" i="16"/>
  <c r="M256" i="16" s="1"/>
  <c r="N255" i="16"/>
  <c r="L255" i="16"/>
  <c r="M255" i="16" s="1"/>
  <c r="N254" i="16"/>
  <c r="L254" i="16"/>
  <c r="M254" i="16" s="1"/>
  <c r="N253" i="16"/>
  <c r="L253" i="16"/>
  <c r="M253" i="16" s="1"/>
  <c r="N252" i="16"/>
  <c r="L252" i="16"/>
  <c r="M252" i="16" s="1"/>
  <c r="N251" i="16"/>
  <c r="L251" i="16"/>
  <c r="M251" i="16" s="1"/>
  <c r="N250" i="16"/>
  <c r="L250" i="16"/>
  <c r="M250" i="16" s="1"/>
  <c r="N249" i="16"/>
  <c r="L249" i="16"/>
  <c r="M249" i="16" s="1"/>
  <c r="N248" i="16"/>
  <c r="L248" i="16"/>
  <c r="M248" i="16" s="1"/>
  <c r="N247" i="16"/>
  <c r="L247" i="16"/>
  <c r="M247" i="16" s="1"/>
  <c r="N246" i="16"/>
  <c r="L246" i="16"/>
  <c r="M246" i="16" s="1"/>
  <c r="N299" i="16"/>
  <c r="L299" i="16"/>
  <c r="M299" i="16" s="1"/>
  <c r="N298" i="16"/>
  <c r="L298" i="16"/>
  <c r="M298" i="16" s="1"/>
  <c r="N297" i="16"/>
  <c r="L297" i="16"/>
  <c r="M297" i="16" s="1"/>
  <c r="N296" i="16"/>
  <c r="L296" i="16"/>
  <c r="M296" i="16" s="1"/>
  <c r="N295" i="16"/>
  <c r="L295" i="16"/>
  <c r="M295" i="16" s="1"/>
  <c r="N294" i="16"/>
  <c r="L294" i="16"/>
  <c r="M294" i="16" s="1"/>
  <c r="N293" i="16"/>
  <c r="L293" i="16"/>
  <c r="M293" i="16" s="1"/>
  <c r="N292" i="16"/>
  <c r="L292" i="16"/>
  <c r="M292" i="16" s="1"/>
  <c r="N291" i="16"/>
  <c r="L291" i="16"/>
  <c r="M291" i="16" s="1"/>
  <c r="N290" i="16"/>
  <c r="L290" i="16"/>
  <c r="M290" i="16" s="1"/>
  <c r="N289" i="16"/>
  <c r="L289" i="16"/>
  <c r="M289" i="16" s="1"/>
  <c r="N288" i="16"/>
  <c r="L288" i="16"/>
  <c r="M288" i="16" s="1"/>
  <c r="N287" i="16"/>
  <c r="L287" i="16"/>
  <c r="M287" i="16" s="1"/>
  <c r="N286" i="16"/>
  <c r="L286" i="16"/>
  <c r="M286" i="16" s="1"/>
  <c r="N285" i="16"/>
  <c r="L285" i="16"/>
  <c r="M285" i="16" s="1"/>
  <c r="N284" i="16"/>
  <c r="L284" i="16"/>
  <c r="M284" i="16" s="1"/>
  <c r="N282" i="16"/>
  <c r="L282" i="16"/>
  <c r="M282" i="16" s="1"/>
  <c r="N281" i="16"/>
  <c r="L281" i="16"/>
  <c r="M281" i="16" s="1"/>
  <c r="N280" i="16"/>
  <c r="L280" i="16"/>
  <c r="M280" i="16" s="1"/>
  <c r="N279" i="16"/>
  <c r="L279" i="16"/>
  <c r="M279" i="16" s="1"/>
  <c r="N278" i="16"/>
  <c r="L278" i="16"/>
  <c r="M278" i="16" s="1"/>
  <c r="N277" i="16"/>
  <c r="L277" i="16"/>
  <c r="M277" i="16" s="1"/>
  <c r="N222" i="16"/>
  <c r="L222" i="16"/>
  <c r="M222" i="16" s="1"/>
  <c r="N221" i="16"/>
  <c r="L221" i="16"/>
  <c r="M221" i="16" s="1"/>
  <c r="N220" i="16"/>
  <c r="L220" i="16"/>
  <c r="M220" i="16" s="1"/>
  <c r="N219" i="16"/>
  <c r="L219" i="16"/>
  <c r="M219" i="16" s="1"/>
  <c r="N218" i="16"/>
  <c r="L218" i="16"/>
  <c r="M218" i="16" s="1"/>
  <c r="N217" i="16"/>
  <c r="L217" i="16"/>
  <c r="M217" i="16" s="1"/>
  <c r="N216" i="16"/>
  <c r="L216" i="16"/>
  <c r="M216" i="16" s="1"/>
  <c r="N215" i="16"/>
  <c r="L215" i="16"/>
  <c r="M215" i="16" s="1"/>
  <c r="N214" i="16"/>
  <c r="L214" i="16"/>
  <c r="M214" i="16" s="1"/>
  <c r="N213" i="16"/>
  <c r="L213" i="16"/>
  <c r="M213" i="16" s="1"/>
  <c r="N212" i="16"/>
  <c r="L212" i="16"/>
  <c r="M212" i="16" s="1"/>
  <c r="N211" i="16"/>
  <c r="L211" i="16"/>
  <c r="M211" i="16" s="1"/>
  <c r="N210" i="16"/>
  <c r="L210" i="16"/>
  <c r="M210" i="16" s="1"/>
  <c r="N209" i="16"/>
  <c r="N204" i="16"/>
  <c r="L204" i="16"/>
  <c r="M204" i="16" s="1"/>
  <c r="N203" i="16"/>
  <c r="L203" i="16"/>
  <c r="M203" i="16" s="1"/>
  <c r="O125" i="16"/>
  <c r="L44" i="20"/>
  <c r="N43" i="20"/>
  <c r="M41" i="20"/>
  <c r="L43" i="20"/>
  <c r="M43" i="20"/>
  <c r="L42" i="20"/>
  <c r="M42" i="20"/>
  <c r="N42" i="20"/>
  <c r="N41" i="20"/>
  <c r="G301" i="16"/>
  <c r="K125" i="16"/>
  <c r="G155" i="16"/>
  <c r="S44" i="20"/>
  <c r="R68" i="16"/>
  <c r="E105" i="5"/>
  <c r="K11" i="5"/>
  <c r="L11" i="5"/>
  <c r="K12" i="5"/>
  <c r="L12" i="5"/>
  <c r="K13" i="5"/>
  <c r="L13" i="5"/>
  <c r="K14" i="5"/>
  <c r="L14" i="5"/>
  <c r="K15" i="5"/>
  <c r="L15" i="5"/>
  <c r="K16" i="5"/>
  <c r="L16" i="5"/>
  <c r="K17" i="5"/>
  <c r="L17" i="5"/>
  <c r="K18" i="5"/>
  <c r="L18" i="5"/>
  <c r="K19" i="5"/>
  <c r="L19" i="5"/>
  <c r="K20" i="5"/>
  <c r="L20" i="5"/>
  <c r="K21" i="5"/>
  <c r="L21" i="5"/>
  <c r="K22" i="5"/>
  <c r="L22" i="5"/>
  <c r="K23" i="5"/>
  <c r="L23" i="5"/>
  <c r="K24" i="5"/>
  <c r="L24" i="5"/>
  <c r="K25" i="5"/>
  <c r="L25" i="5"/>
  <c r="K26" i="5"/>
  <c r="L26" i="5"/>
  <c r="K27" i="5"/>
  <c r="L27" i="5"/>
  <c r="K28" i="5"/>
  <c r="L28" i="5"/>
  <c r="K29" i="5"/>
  <c r="L29" i="5"/>
  <c r="K30" i="5"/>
  <c r="L30" i="5"/>
  <c r="K31" i="5"/>
  <c r="L31" i="5"/>
  <c r="K32" i="5"/>
  <c r="L32" i="5"/>
  <c r="K33" i="5"/>
  <c r="L33" i="5"/>
  <c r="K34" i="5"/>
  <c r="L34" i="5"/>
  <c r="K35" i="5"/>
  <c r="L35" i="5"/>
  <c r="K36" i="5"/>
  <c r="L36" i="5"/>
  <c r="K37" i="5"/>
  <c r="L37" i="5"/>
  <c r="K38" i="5"/>
  <c r="L38" i="5"/>
  <c r="K39" i="5"/>
  <c r="L39" i="5"/>
  <c r="K40" i="5"/>
  <c r="L40" i="5"/>
  <c r="K41" i="5"/>
  <c r="L41" i="5"/>
  <c r="K42" i="5"/>
  <c r="L42" i="5"/>
  <c r="K43" i="5"/>
  <c r="L43" i="5"/>
  <c r="K44" i="5"/>
  <c r="L44" i="5"/>
  <c r="K45" i="5"/>
  <c r="L45" i="5"/>
  <c r="K46" i="5"/>
  <c r="L46" i="5"/>
  <c r="K47" i="5"/>
  <c r="L47" i="5"/>
  <c r="K48" i="5"/>
  <c r="L48" i="5"/>
  <c r="K49" i="5"/>
  <c r="L49" i="5"/>
  <c r="K50" i="5"/>
  <c r="L50" i="5"/>
  <c r="K51" i="5"/>
  <c r="L51" i="5"/>
  <c r="K52" i="5"/>
  <c r="L52" i="5"/>
  <c r="K53" i="5"/>
  <c r="L53" i="5"/>
  <c r="K54" i="5"/>
  <c r="L54" i="5"/>
  <c r="K55" i="5"/>
  <c r="L55" i="5"/>
  <c r="K56" i="5"/>
  <c r="L56" i="5"/>
  <c r="K57" i="5"/>
  <c r="L57" i="5"/>
  <c r="K58" i="5"/>
  <c r="L58" i="5"/>
  <c r="K59" i="5"/>
  <c r="L59" i="5"/>
  <c r="K60" i="5"/>
  <c r="L60" i="5"/>
  <c r="K61" i="5"/>
  <c r="L61" i="5"/>
  <c r="K62" i="5"/>
  <c r="L62" i="5"/>
  <c r="K63" i="5"/>
  <c r="L63" i="5"/>
  <c r="K64" i="5"/>
  <c r="L64" i="5"/>
  <c r="K65" i="5"/>
  <c r="L65" i="5"/>
  <c r="K66" i="5"/>
  <c r="L66" i="5"/>
  <c r="K67" i="5"/>
  <c r="L67" i="5"/>
  <c r="K68" i="5"/>
  <c r="L68" i="5"/>
  <c r="K69" i="5"/>
  <c r="L69" i="5"/>
  <c r="K70" i="5"/>
  <c r="L70" i="5"/>
  <c r="K71" i="5"/>
  <c r="L71" i="5"/>
  <c r="K72" i="5"/>
  <c r="L72" i="5"/>
  <c r="K73" i="5"/>
  <c r="L73" i="5"/>
  <c r="K74" i="5"/>
  <c r="L74" i="5"/>
  <c r="K75" i="5"/>
  <c r="L75" i="5"/>
  <c r="K76" i="5"/>
  <c r="L76" i="5"/>
  <c r="K77" i="5"/>
  <c r="L77" i="5"/>
  <c r="K78" i="5"/>
  <c r="L78" i="5"/>
  <c r="K79" i="5"/>
  <c r="L79" i="5"/>
  <c r="K80" i="5"/>
  <c r="L80" i="5"/>
  <c r="K81" i="5"/>
  <c r="L81" i="5"/>
  <c r="K82" i="5"/>
  <c r="L82" i="5"/>
  <c r="K83" i="5"/>
  <c r="L83" i="5"/>
  <c r="K84" i="5"/>
  <c r="L84" i="5"/>
  <c r="K85" i="5"/>
  <c r="L85" i="5"/>
  <c r="K86" i="5"/>
  <c r="L86" i="5"/>
  <c r="K87" i="5"/>
  <c r="L87" i="5"/>
  <c r="K88" i="5"/>
  <c r="L88" i="5"/>
  <c r="K89" i="5"/>
  <c r="L89" i="5"/>
  <c r="K90" i="5"/>
  <c r="L90" i="5"/>
  <c r="K91" i="5"/>
  <c r="L91" i="5"/>
  <c r="K92" i="5"/>
  <c r="L92" i="5"/>
  <c r="K93" i="5"/>
  <c r="L93" i="5"/>
  <c r="L24" i="20"/>
  <c r="M24" i="20"/>
  <c r="N24" i="20"/>
  <c r="F22" i="29"/>
  <c r="N40" i="20"/>
  <c r="L40" i="20"/>
  <c r="M40" i="20"/>
  <c r="N39" i="20"/>
  <c r="L39" i="20"/>
  <c r="M39" i="20"/>
  <c r="N38" i="20"/>
  <c r="L38" i="20"/>
  <c r="M38" i="20"/>
  <c r="N37" i="20"/>
  <c r="L37" i="20"/>
  <c r="M37" i="20"/>
  <c r="N276" i="16"/>
  <c r="L276" i="16"/>
  <c r="M276" i="16" s="1"/>
  <c r="L15" i="16"/>
  <c r="M15" i="16" s="1"/>
  <c r="K103" i="5"/>
  <c r="L103" i="5"/>
  <c r="K102" i="5"/>
  <c r="L102" i="5"/>
  <c r="K101" i="5"/>
  <c r="L101" i="5"/>
  <c r="K100" i="5"/>
  <c r="L100" i="5"/>
  <c r="K99" i="5"/>
  <c r="L99" i="5"/>
  <c r="K98" i="5"/>
  <c r="L98" i="5"/>
  <c r="K97" i="5"/>
  <c r="L97" i="5"/>
  <c r="K96" i="5"/>
  <c r="L96" i="5"/>
  <c r="K95" i="5"/>
  <c r="L95" i="5"/>
  <c r="K94" i="5"/>
  <c r="L94" i="5"/>
  <c r="D117" i="42"/>
  <c r="E117" i="42"/>
  <c r="D116" i="42"/>
  <c r="K116" i="42"/>
  <c r="E116" i="42"/>
  <c r="D115" i="42"/>
  <c r="E115" i="42"/>
  <c r="D114" i="42"/>
  <c r="K114" i="42"/>
  <c r="D47" i="42"/>
  <c r="K47" i="42"/>
  <c r="D46" i="42"/>
  <c r="E46" i="42"/>
  <c r="D36" i="42"/>
  <c r="K36" i="42" s="1"/>
  <c r="E36" i="42"/>
  <c r="D33" i="42"/>
  <c r="E33" i="42"/>
  <c r="D32" i="42"/>
  <c r="E32" i="42"/>
  <c r="D31" i="42"/>
  <c r="E31" i="42"/>
  <c r="D30" i="42"/>
  <c r="E30" i="42"/>
  <c r="D29" i="42"/>
  <c r="K29" i="42"/>
  <c r="D28" i="42"/>
  <c r="K28" i="42"/>
  <c r="D27" i="42"/>
  <c r="K27" i="42"/>
  <c r="D26" i="42"/>
  <c r="E26" i="42"/>
  <c r="D25" i="42"/>
  <c r="E25" i="42"/>
  <c r="D24" i="42"/>
  <c r="E24" i="42"/>
  <c r="D23" i="42"/>
  <c r="E23" i="42"/>
  <c r="D21" i="42"/>
  <c r="E21" i="42"/>
  <c r="D40" i="42"/>
  <c r="E40" i="42"/>
  <c r="D38" i="42"/>
  <c r="E38" i="42"/>
  <c r="D37" i="42"/>
  <c r="E37" i="42"/>
  <c r="K33" i="42"/>
  <c r="F379" i="28"/>
  <c r="D35" i="42"/>
  <c r="F8" i="28"/>
  <c r="D50" i="42"/>
  <c r="E50" i="42"/>
  <c r="D64" i="42"/>
  <c r="K64" i="42" s="1"/>
  <c r="D95" i="42"/>
  <c r="K95" i="42" s="1"/>
  <c r="D78" i="42"/>
  <c r="E78" i="42" s="1"/>
  <c r="D52" i="42"/>
  <c r="E52" i="42" s="1"/>
  <c r="L217" i="20"/>
  <c r="M216" i="20"/>
  <c r="L184" i="20"/>
  <c r="M183" i="20"/>
  <c r="L183" i="20"/>
  <c r="M182" i="20"/>
  <c r="L182" i="20"/>
  <c r="M181" i="20"/>
  <c r="L181" i="20"/>
  <c r="M180" i="20"/>
  <c r="L180" i="20"/>
  <c r="M179" i="20"/>
  <c r="L179" i="20"/>
  <c r="M178" i="20"/>
  <c r="L178" i="20"/>
  <c r="M177" i="20"/>
  <c r="L177" i="20"/>
  <c r="M176" i="20"/>
  <c r="L176" i="20"/>
  <c r="M175" i="20"/>
  <c r="L175" i="20"/>
  <c r="M174" i="20"/>
  <c r="L174" i="20"/>
  <c r="M173" i="20"/>
  <c r="L173" i="20"/>
  <c r="M172" i="20"/>
  <c r="L172" i="20"/>
  <c r="M171" i="20"/>
  <c r="L171" i="20"/>
  <c r="M170" i="20"/>
  <c r="L170" i="20"/>
  <c r="M169" i="20"/>
  <c r="L169" i="20"/>
  <c r="M168" i="20"/>
  <c r="L168" i="20"/>
  <c r="M167" i="20"/>
  <c r="L167" i="20"/>
  <c r="M166" i="20"/>
  <c r="L166" i="20"/>
  <c r="M165" i="20"/>
  <c r="L165" i="20"/>
  <c r="M164" i="20"/>
  <c r="L164" i="20"/>
  <c r="M163" i="20"/>
  <c r="L163" i="20"/>
  <c r="M162" i="20"/>
  <c r="L162" i="20"/>
  <c r="M161" i="20"/>
  <c r="L161" i="20"/>
  <c r="M160" i="20"/>
  <c r="L160" i="20"/>
  <c r="M159" i="20"/>
  <c r="L149" i="20"/>
  <c r="M148" i="20"/>
  <c r="L148" i="20"/>
  <c r="M147" i="20"/>
  <c r="L147" i="20"/>
  <c r="M146" i="20"/>
  <c r="L146" i="20"/>
  <c r="M145" i="20"/>
  <c r="L145" i="20"/>
  <c r="M144" i="20"/>
  <c r="L144" i="20"/>
  <c r="M143" i="20"/>
  <c r="L143" i="20"/>
  <c r="M142" i="20"/>
  <c r="L142" i="20"/>
  <c r="M141" i="20"/>
  <c r="L141" i="20"/>
  <c r="M140" i="20"/>
  <c r="L140" i="20"/>
  <c r="M139" i="20"/>
  <c r="L139" i="20"/>
  <c r="M138" i="20"/>
  <c r="L138" i="20"/>
  <c r="M137" i="20"/>
  <c r="L137" i="20"/>
  <c r="M136" i="20"/>
  <c r="L136" i="20"/>
  <c r="M135" i="20"/>
  <c r="L135" i="20"/>
  <c r="M134" i="20"/>
  <c r="L134" i="20"/>
  <c r="M133" i="20"/>
  <c r="L133" i="20"/>
  <c r="M132" i="20"/>
  <c r="L132" i="20"/>
  <c r="M131" i="20"/>
  <c r="L131" i="20"/>
  <c r="M130" i="20"/>
  <c r="L130" i="20"/>
  <c r="M129" i="20"/>
  <c r="L127" i="20"/>
  <c r="M126" i="20"/>
  <c r="L126" i="20"/>
  <c r="M125" i="20"/>
  <c r="L125" i="20"/>
  <c r="M124" i="20"/>
  <c r="L114" i="20"/>
  <c r="M113" i="20"/>
  <c r="L113" i="20"/>
  <c r="M112" i="20"/>
  <c r="L112" i="20"/>
  <c r="M111" i="20"/>
  <c r="L111" i="20"/>
  <c r="M110" i="20"/>
  <c r="L110" i="20"/>
  <c r="M109" i="20"/>
  <c r="L109" i="20"/>
  <c r="M108" i="20"/>
  <c r="L108" i="20"/>
  <c r="M107" i="20"/>
  <c r="L107" i="20"/>
  <c r="M106" i="20"/>
  <c r="L106" i="20"/>
  <c r="M105" i="20"/>
  <c r="L105" i="20"/>
  <c r="M104" i="20"/>
  <c r="L104" i="20"/>
  <c r="M103" i="20"/>
  <c r="L103" i="20"/>
  <c r="M102" i="20"/>
  <c r="L102" i="20"/>
  <c r="M101" i="20"/>
  <c r="L101" i="20"/>
  <c r="M100" i="20"/>
  <c r="L100" i="20"/>
  <c r="M99" i="20"/>
  <c r="L99" i="20"/>
  <c r="M98" i="20"/>
  <c r="L98" i="20"/>
  <c r="M97" i="20"/>
  <c r="L97" i="20"/>
  <c r="M96" i="20"/>
  <c r="L96" i="20"/>
  <c r="M95" i="20"/>
  <c r="L95" i="20"/>
  <c r="M94" i="20"/>
  <c r="L94" i="20"/>
  <c r="M93" i="20"/>
  <c r="L93" i="20"/>
  <c r="M92" i="20"/>
  <c r="L92" i="20"/>
  <c r="M91" i="20"/>
  <c r="L91" i="20"/>
  <c r="M90" i="20"/>
  <c r="L90" i="20"/>
  <c r="M89" i="20"/>
  <c r="L79" i="20"/>
  <c r="M78" i="20"/>
  <c r="L78" i="20"/>
  <c r="M77" i="20"/>
  <c r="L77" i="20"/>
  <c r="M76" i="20"/>
  <c r="L76" i="20"/>
  <c r="M75" i="20"/>
  <c r="L75" i="20"/>
  <c r="M74" i="20"/>
  <c r="L74" i="20"/>
  <c r="M73" i="20"/>
  <c r="L73" i="20"/>
  <c r="M72" i="20"/>
  <c r="L72" i="20"/>
  <c r="M71" i="20"/>
  <c r="L71" i="20"/>
  <c r="M70" i="20"/>
  <c r="L70" i="20"/>
  <c r="M69" i="20"/>
  <c r="L69" i="20"/>
  <c r="M68" i="20"/>
  <c r="L68" i="20"/>
  <c r="L67" i="20"/>
  <c r="M66" i="20"/>
  <c r="L66" i="20"/>
  <c r="M65" i="20"/>
  <c r="L65" i="20"/>
  <c r="M64" i="20"/>
  <c r="L64" i="20"/>
  <c r="M63" i="20"/>
  <c r="L63" i="20"/>
  <c r="M62" i="20"/>
  <c r="L62" i="20"/>
  <c r="M61" i="20"/>
  <c r="L61" i="20"/>
  <c r="M60" i="20"/>
  <c r="L60" i="20"/>
  <c r="M59" i="20"/>
  <c r="L59" i="20"/>
  <c r="M58" i="20"/>
  <c r="L58" i="20"/>
  <c r="M57" i="20"/>
  <c r="L57" i="20"/>
  <c r="M56" i="20"/>
  <c r="L56" i="20"/>
  <c r="M55" i="20"/>
  <c r="L55" i="20"/>
  <c r="M54" i="20"/>
  <c r="K279" i="5"/>
  <c r="L279" i="5"/>
  <c r="K278" i="5"/>
  <c r="L278" i="5"/>
  <c r="K277" i="5"/>
  <c r="L277" i="5"/>
  <c r="K276" i="5"/>
  <c r="L276" i="5"/>
  <c r="K275" i="5"/>
  <c r="L275" i="5"/>
  <c r="K274" i="5"/>
  <c r="L274" i="5"/>
  <c r="K273" i="5"/>
  <c r="L273" i="5"/>
  <c r="K272" i="5"/>
  <c r="L272" i="5"/>
  <c r="K271" i="5"/>
  <c r="L271" i="5"/>
  <c r="K270" i="5"/>
  <c r="L270" i="5"/>
  <c r="K269" i="5"/>
  <c r="L269" i="5"/>
  <c r="K268" i="5"/>
  <c r="L268" i="5"/>
  <c r="K267" i="5"/>
  <c r="L267" i="5"/>
  <c r="K266" i="5"/>
  <c r="L266" i="5"/>
  <c r="K265" i="5"/>
  <c r="L265" i="5"/>
  <c r="K264" i="5"/>
  <c r="L264" i="5"/>
  <c r="K263" i="5"/>
  <c r="L263" i="5"/>
  <c r="K262" i="5"/>
  <c r="L262" i="5"/>
  <c r="K261" i="5"/>
  <c r="L261" i="5"/>
  <c r="K260" i="5"/>
  <c r="L260" i="5"/>
  <c r="K259" i="5"/>
  <c r="L259" i="5"/>
  <c r="K258" i="5"/>
  <c r="L258" i="5"/>
  <c r="K257" i="5"/>
  <c r="L257" i="5"/>
  <c r="K256" i="5"/>
  <c r="L256" i="5"/>
  <c r="K244" i="5"/>
  <c r="L244" i="5"/>
  <c r="K243" i="5"/>
  <c r="L243" i="5"/>
  <c r="K242" i="5"/>
  <c r="K241" i="5"/>
  <c r="L241" i="5"/>
  <c r="K240" i="5"/>
  <c r="L240" i="5"/>
  <c r="K239" i="5"/>
  <c r="L239" i="5"/>
  <c r="K238" i="5"/>
  <c r="L238" i="5"/>
  <c r="K237" i="5"/>
  <c r="L237" i="5"/>
  <c r="K236" i="5"/>
  <c r="L236" i="5"/>
  <c r="K235" i="5"/>
  <c r="L235" i="5"/>
  <c r="K234" i="5"/>
  <c r="L234" i="5"/>
  <c r="K233" i="5"/>
  <c r="L233" i="5"/>
  <c r="K232" i="5"/>
  <c r="L232" i="5"/>
  <c r="K231" i="5"/>
  <c r="L231" i="5"/>
  <c r="K230" i="5"/>
  <c r="L230" i="5"/>
  <c r="K229" i="5"/>
  <c r="L229" i="5"/>
  <c r="K228" i="5"/>
  <c r="L228" i="5"/>
  <c r="K227" i="5"/>
  <c r="L227" i="5"/>
  <c r="K226" i="5"/>
  <c r="L226" i="5"/>
  <c r="K225" i="5"/>
  <c r="L225" i="5"/>
  <c r="K224" i="5"/>
  <c r="L224" i="5"/>
  <c r="K223" i="5"/>
  <c r="L223" i="5"/>
  <c r="K222" i="5"/>
  <c r="L222" i="5"/>
  <c r="K221" i="5"/>
  <c r="L221" i="5"/>
  <c r="K220" i="5"/>
  <c r="L220" i="5"/>
  <c r="K209" i="5"/>
  <c r="L209" i="5"/>
  <c r="K208" i="5"/>
  <c r="L208" i="5"/>
  <c r="K207" i="5"/>
  <c r="L207" i="5"/>
  <c r="K206" i="5"/>
  <c r="L206" i="5"/>
  <c r="K205" i="5"/>
  <c r="L205" i="5"/>
  <c r="K204" i="5"/>
  <c r="L204" i="5"/>
  <c r="K203" i="5"/>
  <c r="L203" i="5"/>
  <c r="K202" i="5"/>
  <c r="L202" i="5"/>
  <c r="K201" i="5"/>
  <c r="L201" i="5"/>
  <c r="K200" i="5"/>
  <c r="L200" i="5"/>
  <c r="K199" i="5"/>
  <c r="L199" i="5"/>
  <c r="K198" i="5"/>
  <c r="L198" i="5"/>
  <c r="K197" i="5"/>
  <c r="L197" i="5"/>
  <c r="K196" i="5"/>
  <c r="L196" i="5"/>
  <c r="K195" i="5"/>
  <c r="L195" i="5"/>
  <c r="K194" i="5"/>
  <c r="L194" i="5"/>
  <c r="K193" i="5"/>
  <c r="L193" i="5"/>
  <c r="K192" i="5"/>
  <c r="L192" i="5"/>
  <c r="K191" i="5"/>
  <c r="L191" i="5"/>
  <c r="K190" i="5"/>
  <c r="L190" i="5"/>
  <c r="K189" i="5"/>
  <c r="L189" i="5"/>
  <c r="K188" i="5"/>
  <c r="L188" i="5"/>
  <c r="K187" i="5"/>
  <c r="L187" i="5"/>
  <c r="K186" i="5"/>
  <c r="L186" i="5"/>
  <c r="K185" i="5"/>
  <c r="L185" i="5"/>
  <c r="K174" i="5"/>
  <c r="L174" i="5"/>
  <c r="K173" i="5"/>
  <c r="L173" i="5"/>
  <c r="K172" i="5"/>
  <c r="L172" i="5"/>
  <c r="K171" i="5"/>
  <c r="L171" i="5"/>
  <c r="K170" i="5"/>
  <c r="L170" i="5"/>
  <c r="K169" i="5"/>
  <c r="K168" i="5"/>
  <c r="L168" i="5"/>
  <c r="K167" i="5"/>
  <c r="L167" i="5"/>
  <c r="K166" i="5"/>
  <c r="L166" i="5"/>
  <c r="K165" i="5"/>
  <c r="L165" i="5"/>
  <c r="K164" i="5"/>
  <c r="L164" i="5"/>
  <c r="K163" i="5"/>
  <c r="L163" i="5"/>
  <c r="K162" i="5"/>
  <c r="L162" i="5"/>
  <c r="K161" i="5"/>
  <c r="L161" i="5"/>
  <c r="K160" i="5"/>
  <c r="L160" i="5"/>
  <c r="K159" i="5"/>
  <c r="L159" i="5"/>
  <c r="K158" i="5"/>
  <c r="L158" i="5"/>
  <c r="K157" i="5"/>
  <c r="L157" i="5"/>
  <c r="K156" i="5"/>
  <c r="L156" i="5"/>
  <c r="K155" i="5"/>
  <c r="L155" i="5"/>
  <c r="K154" i="5"/>
  <c r="L154" i="5"/>
  <c r="K153" i="5"/>
  <c r="L153" i="5"/>
  <c r="K152" i="5"/>
  <c r="L152" i="5"/>
  <c r="K151" i="5"/>
  <c r="L151" i="5"/>
  <c r="K150" i="5"/>
  <c r="L150" i="5"/>
  <c r="K139" i="5"/>
  <c r="L139" i="5"/>
  <c r="K138" i="5"/>
  <c r="L138" i="5"/>
  <c r="K137" i="5"/>
  <c r="L137" i="5"/>
  <c r="K136" i="5"/>
  <c r="L136" i="5"/>
  <c r="K135" i="5"/>
  <c r="L135" i="5"/>
  <c r="K134" i="5"/>
  <c r="L134" i="5"/>
  <c r="K133" i="5"/>
  <c r="L133" i="5"/>
  <c r="K132" i="5"/>
  <c r="L132" i="5"/>
  <c r="K131" i="5"/>
  <c r="L131" i="5"/>
  <c r="K130" i="5"/>
  <c r="L130" i="5"/>
  <c r="K129" i="5"/>
  <c r="L129" i="5"/>
  <c r="K128" i="5"/>
  <c r="L128" i="5"/>
  <c r="K127" i="5"/>
  <c r="L127" i="5"/>
  <c r="K126" i="5"/>
  <c r="L126" i="5"/>
  <c r="K125" i="5"/>
  <c r="L125" i="5"/>
  <c r="K124" i="5"/>
  <c r="L124" i="5"/>
  <c r="K123" i="5"/>
  <c r="L123" i="5"/>
  <c r="K122" i="5"/>
  <c r="L122" i="5"/>
  <c r="K121" i="5"/>
  <c r="L121" i="5"/>
  <c r="K120" i="5"/>
  <c r="L120" i="5"/>
  <c r="K119" i="5"/>
  <c r="L119" i="5"/>
  <c r="K118" i="5"/>
  <c r="L118" i="5"/>
  <c r="K117" i="5"/>
  <c r="L117" i="5"/>
  <c r="K116" i="5"/>
  <c r="L116" i="5"/>
  <c r="K115" i="5"/>
  <c r="L115" i="5"/>
  <c r="L201" i="16"/>
  <c r="M201" i="16" s="1"/>
  <c r="L200" i="16"/>
  <c r="M200" i="16" s="1"/>
  <c r="D49" i="42"/>
  <c r="K49" i="42"/>
  <c r="D48" i="42"/>
  <c r="E48" i="42"/>
  <c r="D45" i="42"/>
  <c r="E45" i="42"/>
  <c r="D91" i="42"/>
  <c r="E91" i="42"/>
  <c r="D90" i="42"/>
  <c r="K90" i="42"/>
  <c r="D76" i="42"/>
  <c r="K76" i="42"/>
  <c r="D53" i="42"/>
  <c r="K53" i="42" s="1"/>
  <c r="E53" i="42"/>
  <c r="D79" i="42"/>
  <c r="K79" i="42" s="1"/>
  <c r="D93" i="42"/>
  <c r="K93" i="42" s="1"/>
  <c r="D94" i="42"/>
  <c r="K94" i="42" s="1"/>
  <c r="E94" i="42"/>
  <c r="D96" i="42"/>
  <c r="E96" i="42" s="1"/>
  <c r="D43" i="42"/>
  <c r="K43" i="42"/>
  <c r="D42" i="42"/>
  <c r="E42" i="42"/>
  <c r="K104" i="5"/>
  <c r="L104" i="5"/>
  <c r="L22" i="20"/>
  <c r="M22" i="20"/>
  <c r="L14" i="20"/>
  <c r="M14" i="20"/>
  <c r="L15" i="20"/>
  <c r="M15" i="20"/>
  <c r="L16" i="20"/>
  <c r="M16" i="20"/>
  <c r="L17" i="20"/>
  <c r="M17" i="20"/>
  <c r="L18" i="20"/>
  <c r="M18" i="20"/>
  <c r="L19" i="20"/>
  <c r="M19" i="20"/>
  <c r="L20" i="20"/>
  <c r="M20" i="20"/>
  <c r="L21" i="20"/>
  <c r="M21" i="20"/>
  <c r="L26" i="20"/>
  <c r="M26" i="20"/>
  <c r="L27" i="20"/>
  <c r="M27" i="20"/>
  <c r="L28" i="20"/>
  <c r="M28" i="20"/>
  <c r="L29" i="20"/>
  <c r="M29" i="20"/>
  <c r="L30" i="20"/>
  <c r="M30" i="20"/>
  <c r="L31" i="20"/>
  <c r="M31" i="20"/>
  <c r="L32" i="20"/>
  <c r="M32" i="20" s="1"/>
  <c r="L33" i="20"/>
  <c r="M33" i="20"/>
  <c r="L34" i="20"/>
  <c r="M34" i="20"/>
  <c r="L35" i="20"/>
  <c r="M35" i="20"/>
  <c r="L36" i="20"/>
  <c r="M36" i="20"/>
  <c r="D112" i="42"/>
  <c r="E112" i="42"/>
  <c r="D111" i="42"/>
  <c r="E111" i="42"/>
  <c r="D109" i="42"/>
  <c r="E109" i="42"/>
  <c r="D110" i="42"/>
  <c r="K110" i="42"/>
  <c r="D108" i="42"/>
  <c r="K108" i="42"/>
  <c r="D19" i="42"/>
  <c r="K19" i="42"/>
  <c r="D18" i="42"/>
  <c r="K18" i="42"/>
  <c r="D16" i="42"/>
  <c r="E16" i="42"/>
  <c r="D15" i="42"/>
  <c r="K15" i="42"/>
  <c r="D14" i="42"/>
  <c r="K14" i="42"/>
  <c r="D17" i="42"/>
  <c r="K17" i="42"/>
  <c r="D13" i="42"/>
  <c r="K13" i="42"/>
  <c r="D12" i="42"/>
  <c r="E12" i="42"/>
  <c r="K21" i="42"/>
  <c r="N194" i="20"/>
  <c r="N195" i="20"/>
  <c r="N196" i="20"/>
  <c r="N198" i="20"/>
  <c r="N199" i="20"/>
  <c r="N200" i="20"/>
  <c r="N201" i="20"/>
  <c r="N202" i="20"/>
  <c r="N203" i="20"/>
  <c r="N204" i="20"/>
  <c r="N205" i="20"/>
  <c r="N206" i="20"/>
  <c r="N207" i="20"/>
  <c r="N208" i="20"/>
  <c r="N209" i="20"/>
  <c r="N210" i="20"/>
  <c r="N211" i="20"/>
  <c r="N212" i="20"/>
  <c r="N213" i="20"/>
  <c r="N214" i="20"/>
  <c r="N215" i="20"/>
  <c r="N216" i="20"/>
  <c r="N159" i="20"/>
  <c r="N160" i="20"/>
  <c r="N161" i="20"/>
  <c r="N162" i="20"/>
  <c r="N163" i="20"/>
  <c r="N164" i="20"/>
  <c r="N165" i="20"/>
  <c r="N166" i="20"/>
  <c r="N167" i="20"/>
  <c r="N168" i="20"/>
  <c r="N169" i="20"/>
  <c r="N170" i="20"/>
  <c r="N171" i="20"/>
  <c r="N172" i="20"/>
  <c r="N173" i="20"/>
  <c r="N174" i="20"/>
  <c r="N175" i="20"/>
  <c r="N176" i="20"/>
  <c r="N177" i="20"/>
  <c r="N178" i="20"/>
  <c r="N179" i="20"/>
  <c r="N180" i="20"/>
  <c r="N181" i="20"/>
  <c r="N182" i="20"/>
  <c r="N183" i="20"/>
  <c r="N124" i="20"/>
  <c r="N125" i="20"/>
  <c r="N126" i="20"/>
  <c r="N128" i="20"/>
  <c r="N129" i="20"/>
  <c r="N130" i="20"/>
  <c r="N131" i="20"/>
  <c r="N132" i="20"/>
  <c r="N133" i="20"/>
  <c r="N134" i="20"/>
  <c r="N135" i="20"/>
  <c r="N136" i="20"/>
  <c r="N137" i="20"/>
  <c r="N138" i="20"/>
  <c r="N139" i="20"/>
  <c r="N140" i="20"/>
  <c r="N141" i="20"/>
  <c r="N142" i="20"/>
  <c r="N143" i="20"/>
  <c r="N144" i="20"/>
  <c r="N145" i="20"/>
  <c r="N146" i="20"/>
  <c r="N147" i="20"/>
  <c r="N148" i="20"/>
  <c r="N89" i="20"/>
  <c r="N90" i="20"/>
  <c r="N91" i="20"/>
  <c r="N92" i="20"/>
  <c r="N93" i="20"/>
  <c r="N94" i="20"/>
  <c r="N95" i="20"/>
  <c r="N96" i="20"/>
  <c r="N97" i="20"/>
  <c r="N98" i="20"/>
  <c r="N99" i="20"/>
  <c r="N100" i="20"/>
  <c r="N101" i="20"/>
  <c r="N102" i="20"/>
  <c r="N103" i="20"/>
  <c r="N104" i="20"/>
  <c r="N105" i="20"/>
  <c r="N106" i="20"/>
  <c r="N107" i="20"/>
  <c r="N108" i="20"/>
  <c r="N109" i="20"/>
  <c r="N110" i="20"/>
  <c r="N111" i="20"/>
  <c r="N112" i="20"/>
  <c r="N113" i="20"/>
  <c r="N54" i="20"/>
  <c r="N55" i="20"/>
  <c r="N56" i="20"/>
  <c r="N57" i="20"/>
  <c r="N58" i="20"/>
  <c r="N59" i="20"/>
  <c r="N60" i="20"/>
  <c r="N61" i="20"/>
  <c r="N62" i="20"/>
  <c r="N63" i="20"/>
  <c r="N64" i="20"/>
  <c r="N65" i="20"/>
  <c r="N66" i="20"/>
  <c r="N67" i="20"/>
  <c r="N68" i="20"/>
  <c r="N69" i="20"/>
  <c r="N70" i="20"/>
  <c r="N71" i="20"/>
  <c r="N72" i="20"/>
  <c r="N73" i="20"/>
  <c r="N74" i="20"/>
  <c r="N75" i="20"/>
  <c r="N76" i="20"/>
  <c r="N77" i="20"/>
  <c r="N78" i="20"/>
  <c r="G217" i="20"/>
  <c r="G184" i="20"/>
  <c r="G149" i="20"/>
  <c r="G114" i="20"/>
  <c r="G79" i="20"/>
  <c r="M67" i="20"/>
  <c r="F44" i="20"/>
  <c r="N36" i="20"/>
  <c r="N35" i="20"/>
  <c r="N34" i="20"/>
  <c r="N33" i="20"/>
  <c r="N32" i="20"/>
  <c r="N31" i="20"/>
  <c r="N30" i="20"/>
  <c r="N29" i="20"/>
  <c r="N28" i="20"/>
  <c r="N27" i="20"/>
  <c r="N26" i="20"/>
  <c r="N21" i="20"/>
  <c r="N20" i="20"/>
  <c r="N19" i="20"/>
  <c r="N18" i="20"/>
  <c r="N17" i="20"/>
  <c r="N16" i="20"/>
  <c r="N15" i="20"/>
  <c r="N14" i="20"/>
  <c r="N23" i="20"/>
  <c r="N22" i="20"/>
  <c r="N201" i="16"/>
  <c r="N200" i="16"/>
  <c r="I39" i="19"/>
  <c r="H39" i="19"/>
  <c r="G39" i="19"/>
  <c r="F39" i="19"/>
  <c r="E39" i="19"/>
  <c r="D39" i="19"/>
  <c r="I33" i="19"/>
  <c r="H33" i="19"/>
  <c r="G33" i="19"/>
  <c r="F33" i="19"/>
  <c r="E33" i="19"/>
  <c r="D33" i="19"/>
  <c r="I27" i="19"/>
  <c r="H27" i="19"/>
  <c r="G27" i="19"/>
  <c r="F27" i="19"/>
  <c r="E27" i="19"/>
  <c r="D27" i="19"/>
  <c r="I21" i="19"/>
  <c r="H21" i="19"/>
  <c r="G21" i="19"/>
  <c r="F21" i="19"/>
  <c r="E21" i="19"/>
  <c r="D21" i="19"/>
  <c r="I15" i="19"/>
  <c r="H15" i="19"/>
  <c r="G15" i="19"/>
  <c r="F15" i="19"/>
  <c r="E15" i="19"/>
  <c r="D15" i="19"/>
  <c r="I9" i="19"/>
  <c r="H9" i="19"/>
  <c r="G9" i="19"/>
  <c r="F9" i="19"/>
  <c r="E9" i="19"/>
  <c r="D9" i="19"/>
  <c r="G266" i="16"/>
  <c r="G230" i="16"/>
  <c r="G190" i="16"/>
  <c r="F280" i="5"/>
  <c r="F245" i="5"/>
  <c r="F210" i="5"/>
  <c r="F175" i="5"/>
  <c r="F140" i="5"/>
  <c r="L242" i="5"/>
  <c r="L169" i="5"/>
  <c r="J105" i="5"/>
  <c r="K16" i="42"/>
  <c r="K91" i="42"/>
  <c r="K52" i="42"/>
  <c r="K37" i="42"/>
  <c r="K31" i="42"/>
  <c r="D25" i="18"/>
  <c r="D58" i="18"/>
  <c r="D36" i="18"/>
  <c r="D69" i="18"/>
  <c r="D14" i="18"/>
  <c r="D47" i="18"/>
  <c r="H36" i="18"/>
  <c r="H69" i="18"/>
  <c r="H14" i="18"/>
  <c r="H47" i="18"/>
  <c r="H25" i="18"/>
  <c r="H58" i="18"/>
  <c r="I69" i="18"/>
  <c r="I14" i="18"/>
  <c r="I47" i="18"/>
  <c r="I25" i="18"/>
  <c r="I58" i="18"/>
  <c r="I36" i="18"/>
  <c r="K40" i="42"/>
  <c r="F58" i="18"/>
  <c r="F36" i="18"/>
  <c r="F69" i="18"/>
  <c r="F14" i="18"/>
  <c r="F47" i="18"/>
  <c r="F25" i="18"/>
  <c r="G36" i="18"/>
  <c r="G69" i="18"/>
  <c r="G14" i="18"/>
  <c r="G47" i="18"/>
  <c r="G25" i="18"/>
  <c r="G58" i="18"/>
  <c r="E47" i="18"/>
  <c r="E58" i="18"/>
  <c r="E25" i="18"/>
  <c r="E14" i="18"/>
  <c r="E69" i="18"/>
  <c r="E36" i="18"/>
  <c r="E17" i="42"/>
  <c r="E14" i="42"/>
  <c r="E13" i="42"/>
  <c r="E19" i="42"/>
  <c r="E18" i="42"/>
  <c r="E90" i="42"/>
  <c r="E114" i="42"/>
  <c r="K117" i="42"/>
  <c r="K30" i="42"/>
  <c r="K38" i="42"/>
  <c r="F291" i="44"/>
  <c r="F17" i="29" s="1"/>
  <c r="F43" i="18"/>
  <c r="F40" i="18"/>
  <c r="H68" i="18"/>
  <c r="H43" i="18"/>
  <c r="F22" i="18"/>
  <c r="F28" i="18"/>
  <c r="H56" i="18"/>
  <c r="D50" i="18"/>
  <c r="H33" i="18"/>
  <c r="H24" i="18"/>
  <c r="D9" i="18"/>
  <c r="D100" i="42"/>
  <c r="E100" i="42"/>
  <c r="F12" i="18"/>
  <c r="F33" i="18"/>
  <c r="H55" i="18"/>
  <c r="H45" i="18"/>
  <c r="D48" i="18"/>
  <c r="F16" i="18"/>
  <c r="H20" i="18"/>
  <c r="D56" i="18"/>
  <c r="F20" i="18"/>
  <c r="H38" i="18"/>
  <c r="F64" i="18"/>
  <c r="D102" i="42"/>
  <c r="H51" i="18"/>
  <c r="F56" i="18"/>
  <c r="H22" i="18"/>
  <c r="F18" i="18"/>
  <c r="H35" i="18"/>
  <c r="F10" i="18"/>
  <c r="H17" i="18"/>
  <c r="F71" i="18"/>
  <c r="F23" i="18"/>
  <c r="H10" i="18"/>
  <c r="H39" i="18"/>
  <c r="H72" i="18"/>
  <c r="H48" i="18"/>
  <c r="H26" i="18"/>
  <c r="F72" i="18"/>
  <c r="F60" i="18"/>
  <c r="F48" i="18"/>
  <c r="F13" i="18"/>
  <c r="H46" i="18"/>
  <c r="H23" i="18"/>
  <c r="H67" i="18"/>
  <c r="F42" i="18"/>
  <c r="F21" i="18"/>
  <c r="F65" i="18"/>
  <c r="F44" i="18"/>
  <c r="H66" i="18"/>
  <c r="K98" i="42"/>
  <c r="H60" i="18"/>
  <c r="F29" i="18"/>
  <c r="F35" i="18"/>
  <c r="H64" i="18"/>
  <c r="H12" i="18"/>
  <c r="F54" i="18"/>
  <c r="H73" i="18"/>
  <c r="H27" i="18"/>
  <c r="F46" i="18"/>
  <c r="H54" i="18"/>
  <c r="D11" i="18"/>
  <c r="H71" i="18"/>
  <c r="D24" i="18"/>
  <c r="H59" i="18"/>
  <c r="F73" i="18"/>
  <c r="F61" i="18"/>
  <c r="F49" i="18"/>
  <c r="F37" i="18"/>
  <c r="F57" i="18"/>
  <c r="F34" i="18"/>
  <c r="F9" i="18"/>
  <c r="H42" i="18"/>
  <c r="H21" i="18"/>
  <c r="H65" i="18"/>
  <c r="H44" i="18"/>
  <c r="H40" i="18"/>
  <c r="H29" i="18"/>
  <c r="F31" i="18"/>
  <c r="F66" i="18"/>
  <c r="H62" i="18"/>
  <c r="H50" i="18"/>
  <c r="F70" i="18"/>
  <c r="H31" i="18"/>
  <c r="I31" i="18"/>
  <c r="D54" i="18"/>
  <c r="H18" i="18"/>
  <c r="H61" i="18"/>
  <c r="H15" i="18"/>
  <c r="H70" i="18"/>
  <c r="F62" i="18"/>
  <c r="F50" i="18"/>
  <c r="F38" i="18"/>
  <c r="F26" i="18"/>
  <c r="H13" i="18"/>
  <c r="H57" i="18"/>
  <c r="H34" i="18"/>
  <c r="H9" i="18"/>
  <c r="F53" i="18"/>
  <c r="F32" i="18"/>
  <c r="F11" i="18"/>
  <c r="F55" i="18"/>
  <c r="F17" i="18"/>
  <c r="H28" i="18"/>
  <c r="H49" i="18"/>
  <c r="F59" i="18"/>
  <c r="F67" i="18"/>
  <c r="H16" i="18"/>
  <c r="H37" i="18"/>
  <c r="F51" i="18"/>
  <c r="F39" i="18"/>
  <c r="F27" i="18"/>
  <c r="F15" i="18"/>
  <c r="F24" i="18"/>
  <c r="F68" i="18"/>
  <c r="F45" i="18"/>
  <c r="H53" i="18"/>
  <c r="H32" i="18"/>
  <c r="H11" i="18"/>
  <c r="H49" i="17"/>
  <c r="F10" i="17"/>
  <c r="E17" i="17"/>
  <c r="F35" i="17"/>
  <c r="F55" i="17"/>
  <c r="H65" i="17"/>
  <c r="H26" i="17"/>
  <c r="E23" i="17"/>
  <c r="F59" i="17"/>
  <c r="H57" i="17"/>
  <c r="E13" i="17"/>
  <c r="F50" i="17"/>
  <c r="H45" i="17"/>
  <c r="E27" i="17"/>
  <c r="F24" i="17"/>
  <c r="E40" i="17"/>
  <c r="M79" i="20"/>
  <c r="F18" i="17"/>
  <c r="E64" i="17"/>
  <c r="F36" i="17"/>
  <c r="H73" i="17"/>
  <c r="H68" i="17"/>
  <c r="E51" i="17"/>
  <c r="H22" i="17"/>
  <c r="E69" i="17"/>
  <c r="F39" i="17"/>
  <c r="F69" i="17"/>
  <c r="E43" i="17"/>
  <c r="F31" i="17"/>
  <c r="E72" i="17"/>
  <c r="E46" i="17"/>
  <c r="F46" i="17"/>
  <c r="M114" i="20"/>
  <c r="D83" i="42"/>
  <c r="E83" i="42"/>
  <c r="M184" i="20"/>
  <c r="D85" i="42"/>
  <c r="F64" i="17"/>
  <c r="E37" i="17"/>
  <c r="H20" i="17"/>
  <c r="F53" i="17"/>
  <c r="E22" i="17"/>
  <c r="H44" i="17"/>
  <c r="F12" i="17"/>
  <c r="E45" i="17"/>
  <c r="H67" i="17"/>
  <c r="F32" i="17"/>
  <c r="E65" i="17"/>
  <c r="H25" i="17"/>
  <c r="F58" i="17"/>
  <c r="E26" i="17"/>
  <c r="H48" i="17"/>
  <c r="F16" i="17"/>
  <c r="E49" i="17"/>
  <c r="H71" i="17"/>
  <c r="F40" i="17"/>
  <c r="E73" i="17"/>
  <c r="H50" i="17"/>
  <c r="F17" i="17"/>
  <c r="E57" i="17"/>
  <c r="H35" i="17"/>
  <c r="E31" i="17"/>
  <c r="H53" i="17"/>
  <c r="F22" i="17"/>
  <c r="E55" i="17"/>
  <c r="H12" i="17"/>
  <c r="F45" i="17"/>
  <c r="E10" i="17"/>
  <c r="H32" i="17"/>
  <c r="F65" i="17"/>
  <c r="E36" i="17"/>
  <c r="H58" i="17"/>
  <c r="F26" i="17"/>
  <c r="E59" i="17"/>
  <c r="H16" i="17"/>
  <c r="F49" i="17"/>
  <c r="E18" i="17"/>
  <c r="H40" i="17"/>
  <c r="F73" i="17"/>
  <c r="E39" i="17"/>
  <c r="H17" i="17"/>
  <c r="F57" i="17"/>
  <c r="E24" i="17"/>
  <c r="H13" i="17"/>
  <c r="H31" i="17"/>
  <c r="H55" i="17"/>
  <c r="H10" i="17"/>
  <c r="H36" i="17"/>
  <c r="F27" i="17"/>
  <c r="F51" i="17"/>
  <c r="F72" i="17"/>
  <c r="E42" i="17"/>
  <c r="E66" i="17"/>
  <c r="E21" i="17"/>
  <c r="E47" i="17"/>
  <c r="E70" i="17"/>
  <c r="E29" i="17"/>
  <c r="E28" i="17"/>
  <c r="H9" i="17"/>
  <c r="F42" i="17"/>
  <c r="E11" i="17"/>
  <c r="H33" i="17"/>
  <c r="F66" i="17"/>
  <c r="E34" i="17"/>
  <c r="H56" i="17"/>
  <c r="F21" i="17"/>
  <c r="E54" i="17"/>
  <c r="H14" i="17"/>
  <c r="F47" i="17"/>
  <c r="E15" i="17"/>
  <c r="H37" i="17"/>
  <c r="F70" i="17"/>
  <c r="E38" i="17"/>
  <c r="H60" i="17"/>
  <c r="F29" i="17"/>
  <c r="E62" i="17"/>
  <c r="H61" i="17"/>
  <c r="F28" i="17"/>
  <c r="E68" i="17"/>
  <c r="H46" i="17"/>
  <c r="E33" i="17"/>
  <c r="E56" i="17"/>
  <c r="E14" i="17"/>
  <c r="H59" i="17"/>
  <c r="H18" i="17"/>
  <c r="H39" i="17"/>
  <c r="H24" i="17"/>
  <c r="F9" i="17"/>
  <c r="F33" i="17"/>
  <c r="H23" i="17"/>
  <c r="H43" i="17"/>
  <c r="H69" i="17"/>
  <c r="F60" i="17"/>
  <c r="H51" i="17"/>
  <c r="H72" i="17"/>
  <c r="E20" i="17"/>
  <c r="F11" i="17"/>
  <c r="E44" i="17"/>
  <c r="H66" i="17"/>
  <c r="F34" i="17"/>
  <c r="E67" i="17"/>
  <c r="H21" i="17"/>
  <c r="F54" i="17"/>
  <c r="E25" i="17"/>
  <c r="H47" i="17"/>
  <c r="F15" i="17"/>
  <c r="E48" i="17"/>
  <c r="H70" i="17"/>
  <c r="F38" i="17"/>
  <c r="E71" i="17"/>
  <c r="H29" i="17"/>
  <c r="F62" i="17"/>
  <c r="E50" i="17"/>
  <c r="H28" i="17"/>
  <c r="F68" i="17"/>
  <c r="E35" i="17"/>
  <c r="F13" i="17"/>
  <c r="E9" i="17"/>
  <c r="F23" i="17"/>
  <c r="F43" i="17"/>
  <c r="E60" i="17"/>
  <c r="E61" i="17"/>
  <c r="H64" i="17"/>
  <c r="F56" i="17"/>
  <c r="F14" i="17"/>
  <c r="F37" i="17"/>
  <c r="H27" i="17"/>
  <c r="F61" i="17"/>
  <c r="H42" i="17"/>
  <c r="F20" i="17"/>
  <c r="E53" i="17"/>
  <c r="H11" i="17"/>
  <c r="F44" i="17"/>
  <c r="E12" i="17"/>
  <c r="H34" i="17"/>
  <c r="F67" i="17"/>
  <c r="E32" i="17"/>
  <c r="H54" i="17"/>
  <c r="F25" i="17"/>
  <c r="E58" i="17"/>
  <c r="H15" i="17"/>
  <c r="F48" i="17"/>
  <c r="E16" i="17"/>
  <c r="H38" i="17"/>
  <c r="F71" i="17"/>
  <c r="H62" i="17"/>
  <c r="K32" i="42"/>
  <c r="G43" i="17"/>
  <c r="K109" i="42"/>
  <c r="K115" i="42"/>
  <c r="D55" i="18"/>
  <c r="D53" i="18"/>
  <c r="D57" i="18"/>
  <c r="D49" i="18"/>
  <c r="D51" i="18"/>
  <c r="D34" i="18"/>
  <c r="D23" i="18"/>
  <c r="D44" i="18"/>
  <c r="D42" i="18"/>
  <c r="D16" i="18"/>
  <c r="D18" i="18"/>
  <c r="D46" i="18"/>
  <c r="D33" i="18"/>
  <c r="D22" i="18"/>
  <c r="D70" i="18"/>
  <c r="D72" i="18"/>
  <c r="D40" i="18"/>
  <c r="D32" i="18"/>
  <c r="D29" i="18"/>
  <c r="D21" i="18"/>
  <c r="D13" i="18"/>
  <c r="D65" i="18"/>
  <c r="D67" i="18"/>
  <c r="D59" i="18"/>
  <c r="D61" i="18"/>
  <c r="D39" i="18"/>
  <c r="D31" i="18"/>
  <c r="D28" i="18"/>
  <c r="D20" i="18"/>
  <c r="D45" i="18"/>
  <c r="D17" i="18"/>
  <c r="D26" i="18"/>
  <c r="D10" i="18"/>
  <c r="D12" i="18"/>
  <c r="D71" i="18"/>
  <c r="D73" i="18"/>
  <c r="D38" i="18"/>
  <c r="D27" i="18"/>
  <c r="D43" i="18"/>
  <c r="D15" i="18"/>
  <c r="D37" i="18"/>
  <c r="D66" i="18"/>
  <c r="D64" i="18"/>
  <c r="D68" i="18"/>
  <c r="D60" i="18"/>
  <c r="D62" i="18"/>
  <c r="D35" i="18"/>
  <c r="I34" i="18"/>
  <c r="I71" i="18"/>
  <c r="I68" i="18"/>
  <c r="I61" i="18"/>
  <c r="I43" i="18"/>
  <c r="I53" i="18"/>
  <c r="I66" i="18"/>
  <c r="I73" i="18"/>
  <c r="I12" i="18"/>
  <c r="I39" i="18"/>
  <c r="D103" i="42"/>
  <c r="E103" i="42"/>
  <c r="G59" i="18"/>
  <c r="G50" i="18"/>
  <c r="G37" i="18"/>
  <c r="G54" i="18"/>
  <c r="G56" i="18"/>
  <c r="G31" i="18"/>
  <c r="G38" i="18"/>
  <c r="G32" i="18"/>
  <c r="G51" i="18"/>
  <c r="G29" i="18"/>
  <c r="G48" i="18"/>
  <c r="G70" i="18"/>
  <c r="G35" i="18"/>
  <c r="G64" i="18"/>
  <c r="G71" i="18"/>
  <c r="G73" i="18"/>
  <c r="G42" i="18"/>
  <c r="G46" i="18"/>
  <c r="G45" i="18"/>
  <c r="G27" i="18"/>
  <c r="G72" i="18"/>
  <c r="G22" i="18"/>
  <c r="G21" i="18"/>
  <c r="G11" i="18"/>
  <c r="G18" i="18"/>
  <c r="G62" i="18"/>
  <c r="G16" i="18"/>
  <c r="G28" i="18"/>
  <c r="G13" i="18"/>
  <c r="G68" i="18"/>
  <c r="G23" i="18"/>
  <c r="G9" i="18"/>
  <c r="G44" i="18"/>
  <c r="G66" i="18"/>
  <c r="G34" i="18"/>
  <c r="G20" i="18"/>
  <c r="G17" i="18"/>
  <c r="G61" i="18"/>
  <c r="G49" i="18"/>
  <c r="G24" i="18"/>
  <c r="G12" i="18"/>
  <c r="G10" i="18"/>
  <c r="G65" i="18"/>
  <c r="G55" i="18"/>
  <c r="G60" i="18"/>
  <c r="G15" i="18"/>
  <c r="G57" i="18"/>
  <c r="G67" i="18"/>
  <c r="G53" i="18"/>
  <c r="G43" i="18"/>
  <c r="G33" i="18"/>
  <c r="G40" i="18"/>
  <c r="G39" i="18"/>
  <c r="G26" i="18"/>
  <c r="E66" i="18"/>
  <c r="I13" i="17"/>
  <c r="M217" i="20"/>
  <c r="K86" i="42"/>
  <c r="I42" i="17"/>
  <c r="I22" i="17"/>
  <c r="I66" i="17"/>
  <c r="I67" i="17"/>
  <c r="I43" i="17"/>
  <c r="I25" i="17"/>
  <c r="I69" i="17"/>
  <c r="I48" i="17"/>
  <c r="I27" i="17"/>
  <c r="I71" i="17"/>
  <c r="I51" i="17"/>
  <c r="I50" i="17"/>
  <c r="I72" i="17"/>
  <c r="I35" i="17"/>
  <c r="I20" i="17"/>
  <c r="I64" i="17"/>
  <c r="I44" i="17"/>
  <c r="I23" i="17"/>
  <c r="I45" i="17"/>
  <c r="I21" i="17"/>
  <c r="I65" i="17"/>
  <c r="I47" i="17"/>
  <c r="I26" i="17"/>
  <c r="I70" i="17"/>
  <c r="I49" i="17"/>
  <c r="I29" i="17"/>
  <c r="I73" i="17"/>
  <c r="I28" i="17"/>
  <c r="I57" i="17"/>
  <c r="I9" i="17"/>
  <c r="I31" i="17"/>
  <c r="I53" i="17"/>
  <c r="I11" i="17"/>
  <c r="I33" i="17"/>
  <c r="I55" i="17"/>
  <c r="I12" i="17"/>
  <c r="I34" i="17"/>
  <c r="I56" i="17"/>
  <c r="I10" i="17"/>
  <c r="I32" i="17"/>
  <c r="I54" i="17"/>
  <c r="I14" i="17"/>
  <c r="I36" i="17"/>
  <c r="I58" i="17"/>
  <c r="I15" i="17"/>
  <c r="I37" i="17"/>
  <c r="I59" i="17"/>
  <c r="I16" i="17"/>
  <c r="I38" i="17"/>
  <c r="I60" i="17"/>
  <c r="I18" i="17"/>
  <c r="I40" i="17"/>
  <c r="I62" i="17"/>
  <c r="I61" i="17"/>
  <c r="I39" i="17"/>
  <c r="I17" i="17"/>
  <c r="I68" i="17"/>
  <c r="I46" i="17"/>
  <c r="I24" i="17"/>
  <c r="M149" i="20"/>
  <c r="D84" i="42"/>
  <c r="K84" i="42"/>
  <c r="G68" i="17"/>
  <c r="G23" i="17"/>
  <c r="G31" i="17"/>
  <c r="G13" i="17"/>
  <c r="G55" i="17"/>
  <c r="G27" i="17"/>
  <c r="G10" i="17"/>
  <c r="G51" i="17"/>
  <c r="G69" i="17"/>
  <c r="G64" i="17"/>
  <c r="G72" i="17"/>
  <c r="G42" i="17"/>
  <c r="G66" i="17"/>
  <c r="G21" i="17"/>
  <c r="G47" i="17"/>
  <c r="G70" i="17"/>
  <c r="G29" i="17"/>
  <c r="G28" i="17"/>
  <c r="G9" i="17"/>
  <c r="G33" i="17"/>
  <c r="G56" i="17"/>
  <c r="G14" i="17"/>
  <c r="G37" i="17"/>
  <c r="G60" i="17"/>
  <c r="G61" i="17"/>
  <c r="G46" i="17"/>
  <c r="G36" i="17"/>
  <c r="G59" i="17"/>
  <c r="G24" i="17"/>
  <c r="G22" i="17"/>
  <c r="G26" i="17"/>
  <c r="G57" i="17"/>
  <c r="G53" i="17"/>
  <c r="G12" i="17"/>
  <c r="G32" i="17"/>
  <c r="G58" i="17"/>
  <c r="G16" i="17"/>
  <c r="G40" i="17"/>
  <c r="G17" i="17"/>
  <c r="G18" i="17"/>
  <c r="G39" i="17"/>
  <c r="G45" i="17"/>
  <c r="G73" i="17"/>
  <c r="G20" i="17"/>
  <c r="G44" i="17"/>
  <c r="G67" i="17"/>
  <c r="G25" i="17"/>
  <c r="G48" i="17"/>
  <c r="G71" i="17"/>
  <c r="G50" i="17"/>
  <c r="G35" i="17"/>
  <c r="G65" i="17"/>
  <c r="G49" i="17"/>
  <c r="G11" i="17"/>
  <c r="G34" i="17"/>
  <c r="G54" i="17"/>
  <c r="G15" i="17"/>
  <c r="G38" i="17"/>
  <c r="G62" i="17"/>
  <c r="D55" i="17"/>
  <c r="J55" i="17" s="1"/>
  <c r="D46" i="17"/>
  <c r="J46" i="17" s="1"/>
  <c r="D40" i="17"/>
  <c r="J40" i="17" s="1"/>
  <c r="D11" i="17"/>
  <c r="J11" i="17" s="1"/>
  <c r="D14" i="17"/>
  <c r="J14" i="17" s="1"/>
  <c r="D13" i="17"/>
  <c r="J13" i="17" s="1"/>
  <c r="D58" i="17"/>
  <c r="J58" i="17" s="1"/>
  <c r="D18" i="17"/>
  <c r="J18" i="17" s="1"/>
  <c r="D60" i="17"/>
  <c r="J60" i="17" s="1"/>
  <c r="D17" i="17"/>
  <c r="J17" i="17" s="1"/>
  <c r="D27" i="17"/>
  <c r="J27" i="17" s="1"/>
  <c r="D51" i="17"/>
  <c r="J51" i="17" s="1"/>
  <c r="D69" i="17"/>
  <c r="J69" i="17" s="1"/>
  <c r="D9" i="17"/>
  <c r="D10" i="17"/>
  <c r="D49" i="17"/>
  <c r="J49" i="17" s="1"/>
  <c r="D54" i="17"/>
  <c r="J54" i="17" s="1"/>
  <c r="D67" i="17"/>
  <c r="D23" i="17"/>
  <c r="J23" i="17" s="1"/>
  <c r="D71" i="17"/>
  <c r="J71" i="17" s="1"/>
  <c r="D24" i="17"/>
  <c r="J24" i="17" s="1"/>
  <c r="D25" i="17"/>
  <c r="J25" i="17" s="1"/>
  <c r="D43" i="17"/>
  <c r="J43" i="17" s="1"/>
  <c r="D15" i="17"/>
  <c r="D26" i="17"/>
  <c r="J26" i="17" s="1"/>
  <c r="D57" i="17"/>
  <c r="J57" i="17" s="1"/>
  <c r="D47" i="17"/>
  <c r="J47" i="17" s="1"/>
  <c r="D62" i="17"/>
  <c r="J62" i="17" s="1"/>
  <c r="D37" i="17"/>
  <c r="D50" i="17"/>
  <c r="J50" i="17" s="1"/>
  <c r="D66" i="17"/>
  <c r="J66" i="17" s="1"/>
  <c r="D61" i="17"/>
  <c r="J61" i="17" s="1"/>
  <c r="D34" i="17"/>
  <c r="D59" i="17"/>
  <c r="J59" i="17" s="1"/>
  <c r="D35" i="17"/>
  <c r="J35" i="17" s="1"/>
  <c r="D64" i="17"/>
  <c r="J64" i="17" s="1"/>
  <c r="D28" i="17"/>
  <c r="J28" i="17" s="1"/>
  <c r="D33" i="17"/>
  <c r="J33" i="17" s="1"/>
  <c r="D29" i="17"/>
  <c r="J29" i="17" s="1"/>
  <c r="D70" i="17"/>
  <c r="J70" i="17" s="1"/>
  <c r="D39" i="17"/>
  <c r="J39" i="17" s="1"/>
  <c r="D12" i="17"/>
  <c r="D73" i="17"/>
  <c r="J73" i="17" s="1"/>
  <c r="D16" i="17"/>
  <c r="J16" i="17" s="1"/>
  <c r="D53" i="17"/>
  <c r="J53" i="17" s="1"/>
  <c r="D32" i="17"/>
  <c r="J32" i="17" s="1"/>
  <c r="D38" i="17"/>
  <c r="J38" i="17" s="1"/>
  <c r="D20" i="17"/>
  <c r="D44" i="17"/>
  <c r="J44" i="17" s="1"/>
  <c r="D65" i="17"/>
  <c r="J65" i="17" s="1"/>
  <c r="D22" i="17"/>
  <c r="D36" i="17"/>
  <c r="D72" i="17"/>
  <c r="J72" i="17" s="1"/>
  <c r="D68" i="17"/>
  <c r="J68" i="17" s="1"/>
  <c r="D56" i="17"/>
  <c r="J56" i="17" s="1"/>
  <c r="D45" i="17"/>
  <c r="J45" i="17" s="1"/>
  <c r="D31" i="17"/>
  <c r="D48" i="17"/>
  <c r="J48" i="17" s="1"/>
  <c r="D42" i="17"/>
  <c r="D22" i="42"/>
  <c r="K22" i="42"/>
  <c r="E49" i="42"/>
  <c r="E28" i="42"/>
  <c r="K26" i="42"/>
  <c r="E43" i="42"/>
  <c r="K42" i="42"/>
  <c r="E76" i="42"/>
  <c r="E79" i="42"/>
  <c r="K101" i="42"/>
  <c r="E99" i="42"/>
  <c r="K99" i="42"/>
  <c r="E18" i="18"/>
  <c r="E31" i="18"/>
  <c r="E61" i="18"/>
  <c r="E46" i="18"/>
  <c r="E71" i="18"/>
  <c r="E37" i="18"/>
  <c r="E13" i="18"/>
  <c r="E23" i="18"/>
  <c r="E54" i="18"/>
  <c r="E55" i="18"/>
  <c r="E50" i="18"/>
  <c r="E26" i="18"/>
  <c r="E59" i="18"/>
  <c r="E45" i="18"/>
  <c r="E67" i="18"/>
  <c r="E20" i="18"/>
  <c r="E39" i="18"/>
  <c r="E9" i="18"/>
  <c r="E15" i="18"/>
  <c r="E68" i="18"/>
  <c r="E38" i="18"/>
  <c r="E32" i="18"/>
  <c r="E11" i="18"/>
  <c r="E51" i="18"/>
  <c r="E17" i="18"/>
  <c r="E72" i="18"/>
  <c r="E49" i="18"/>
  <c r="E48" i="18"/>
  <c r="E35" i="18"/>
  <c r="E57" i="18"/>
  <c r="E42" i="18"/>
  <c r="E24" i="18"/>
  <c r="E28" i="18"/>
  <c r="E27" i="18"/>
  <c r="E33" i="18"/>
  <c r="E62" i="18"/>
  <c r="E12" i="18"/>
  <c r="E64" i="18"/>
  <c r="E21" i="18"/>
  <c r="E43" i="18"/>
  <c r="E56" i="18"/>
  <c r="E29" i="18"/>
  <c r="E53" i="18"/>
  <c r="E73" i="18"/>
  <c r="E10" i="18"/>
  <c r="E40" i="18"/>
  <c r="E16" i="18"/>
  <c r="E60" i="18"/>
  <c r="E70" i="18"/>
  <c r="E34" i="18"/>
  <c r="E65" i="18"/>
  <c r="E22" i="18"/>
  <c r="E44" i="18"/>
  <c r="I51" i="18"/>
  <c r="I29" i="18"/>
  <c r="I27" i="18"/>
  <c r="I13" i="18"/>
  <c r="I20" i="18"/>
  <c r="I54" i="18"/>
  <c r="I49" i="18"/>
  <c r="I11" i="18"/>
  <c r="I16" i="18"/>
  <c r="I28" i="18"/>
  <c r="I26" i="18"/>
  <c r="I59" i="18"/>
  <c r="I46" i="18"/>
  <c r="I67" i="18"/>
  <c r="I21" i="18"/>
  <c r="I44" i="18"/>
  <c r="I62" i="18"/>
  <c r="I35" i="18"/>
  <c r="I10" i="18"/>
  <c r="I72" i="18"/>
  <c r="I38" i="18"/>
  <c r="I37" i="18"/>
  <c r="I48" i="18"/>
  <c r="I70" i="18"/>
  <c r="I23" i="18"/>
  <c r="I42" i="18"/>
  <c r="I65" i="18"/>
  <c r="I18" i="18"/>
  <c r="I60" i="18"/>
  <c r="I33" i="18"/>
  <c r="I40" i="18"/>
  <c r="I50" i="18"/>
  <c r="I57" i="18"/>
  <c r="I9" i="18"/>
  <c r="I32" i="18"/>
  <c r="I55" i="18"/>
  <c r="I17" i="18"/>
  <c r="I56" i="18"/>
  <c r="I15" i="18"/>
  <c r="I24" i="18"/>
  <c r="I45" i="18"/>
  <c r="I64" i="18"/>
  <c r="I22" i="18"/>
  <c r="E29" i="42"/>
  <c r="E27" i="42"/>
  <c r="K25" i="42"/>
  <c r="K24" i="42"/>
  <c r="K23" i="42"/>
  <c r="L140" i="5"/>
  <c r="D56" i="42"/>
  <c r="K56" i="42"/>
  <c r="L175" i="5"/>
  <c r="D57" i="42"/>
  <c r="K57" i="42"/>
  <c r="L210" i="5"/>
  <c r="D58" i="42"/>
  <c r="E58" i="42"/>
  <c r="L280" i="5"/>
  <c r="D60" i="42" s="1"/>
  <c r="L245" i="5"/>
  <c r="D59" i="42"/>
  <c r="K59" i="42"/>
  <c r="J27" i="19"/>
  <c r="I45" i="19"/>
  <c r="E45" i="19"/>
  <c r="H45" i="19"/>
  <c r="J9" i="19"/>
  <c r="F45" i="19"/>
  <c r="G45" i="19"/>
  <c r="J33" i="19"/>
  <c r="J15" i="19"/>
  <c r="J39" i="19"/>
  <c r="J21" i="19"/>
  <c r="D45" i="19"/>
  <c r="L105" i="5"/>
  <c r="K55" i="42"/>
  <c r="K35" i="42"/>
  <c r="E35" i="42"/>
  <c r="E47" i="42"/>
  <c r="K50" i="42"/>
  <c r="K46" i="42"/>
  <c r="K48" i="42"/>
  <c r="K45" i="42"/>
  <c r="E15" i="42"/>
  <c r="K111" i="42"/>
  <c r="E110" i="42"/>
  <c r="K112" i="42"/>
  <c r="K12" i="42"/>
  <c r="E108" i="42"/>
  <c r="E22" i="42"/>
  <c r="D82" i="42"/>
  <c r="E82" i="42"/>
  <c r="K58" i="42"/>
  <c r="H82" i="18"/>
  <c r="F74" i="18"/>
  <c r="F80" i="18"/>
  <c r="H80" i="18"/>
  <c r="F83" i="18"/>
  <c r="H79" i="18"/>
  <c r="H81" i="18"/>
  <c r="H74" i="18"/>
  <c r="F30" i="18"/>
  <c r="E98" i="42"/>
  <c r="D80" i="18"/>
  <c r="D79" i="18"/>
  <c r="D83" i="18"/>
  <c r="D63" i="18"/>
  <c r="D74" i="18"/>
  <c r="F82" i="18"/>
  <c r="K100" i="42"/>
  <c r="F78" i="18"/>
  <c r="H30" i="18"/>
  <c r="D81" i="18"/>
  <c r="F81" i="18"/>
  <c r="H52" i="18"/>
  <c r="F76" i="18"/>
  <c r="D52" i="18"/>
  <c r="D84" i="18"/>
  <c r="D82" i="18"/>
  <c r="F63" i="18"/>
  <c r="F19" i="18"/>
  <c r="F75" i="18"/>
  <c r="K102" i="42"/>
  <c r="E102" i="42"/>
  <c r="D30" i="18"/>
  <c r="D77" i="18"/>
  <c r="F77" i="18"/>
  <c r="F41" i="18"/>
  <c r="H77" i="18"/>
  <c r="H19" i="18"/>
  <c r="H75" i="18"/>
  <c r="F79" i="18"/>
  <c r="F84" i="18"/>
  <c r="H84" i="18"/>
  <c r="H41" i="18"/>
  <c r="H78" i="18"/>
  <c r="F52" i="18"/>
  <c r="D75" i="18"/>
  <c r="H83" i="18"/>
  <c r="H63" i="18"/>
  <c r="H76" i="18"/>
  <c r="E75" i="17"/>
  <c r="E82" i="17"/>
  <c r="H84" i="17"/>
  <c r="K83" i="42"/>
  <c r="E84" i="17"/>
  <c r="H52" i="17"/>
  <c r="F77" i="17"/>
  <c r="F41" i="17"/>
  <c r="E80" i="17"/>
  <c r="E74" i="17"/>
  <c r="H76" i="17"/>
  <c r="H81" i="17"/>
  <c r="F78" i="17"/>
  <c r="E86" i="42"/>
  <c r="F84" i="17"/>
  <c r="E79" i="17"/>
  <c r="E19" i="17"/>
  <c r="H78" i="17"/>
  <c r="E78" i="17"/>
  <c r="F76" i="17"/>
  <c r="H82" i="17"/>
  <c r="E30" i="17"/>
  <c r="H79" i="17"/>
  <c r="K85" i="42"/>
  <c r="E85" i="42"/>
  <c r="F80" i="17"/>
  <c r="H63" i="17"/>
  <c r="E41" i="17"/>
  <c r="F63" i="17"/>
  <c r="F79" i="17"/>
  <c r="F82" i="17"/>
  <c r="F83" i="17"/>
  <c r="E81" i="17"/>
  <c r="H77" i="17"/>
  <c r="E76" i="17"/>
  <c r="H19" i="17"/>
  <c r="H75" i="17"/>
  <c r="F30" i="17"/>
  <c r="F75" i="17"/>
  <c r="F19" i="17"/>
  <c r="H30" i="17"/>
  <c r="H74" i="17"/>
  <c r="E77" i="17"/>
  <c r="H41" i="17"/>
  <c r="F74" i="17"/>
  <c r="E63" i="17"/>
  <c r="E83" i="17"/>
  <c r="F81" i="17"/>
  <c r="H83" i="17"/>
  <c r="H80" i="17"/>
  <c r="F52" i="17"/>
  <c r="E52" i="17"/>
  <c r="D41" i="18"/>
  <c r="D76" i="18"/>
  <c r="D78" i="18"/>
  <c r="D19" i="18"/>
  <c r="K103" i="42"/>
  <c r="I84" i="18"/>
  <c r="J66" i="18"/>
  <c r="J31" i="18"/>
  <c r="J39" i="18"/>
  <c r="J51" i="18"/>
  <c r="J50" i="18"/>
  <c r="G84" i="18"/>
  <c r="J70" i="18"/>
  <c r="J25" i="18"/>
  <c r="G52" i="18"/>
  <c r="G77" i="18"/>
  <c r="J73" i="18"/>
  <c r="G41" i="18"/>
  <c r="G63" i="18"/>
  <c r="J42" i="18"/>
  <c r="J17" i="18"/>
  <c r="G81" i="18"/>
  <c r="J53" i="18"/>
  <c r="G74" i="18"/>
  <c r="G75" i="18"/>
  <c r="G83" i="18"/>
  <c r="J13" i="18"/>
  <c r="G79" i="18"/>
  <c r="G76" i="18"/>
  <c r="G82" i="18"/>
  <c r="G80" i="18"/>
  <c r="J68" i="18"/>
  <c r="J71" i="18"/>
  <c r="G78" i="18"/>
  <c r="J12" i="18"/>
  <c r="J61" i="18"/>
  <c r="G30" i="18"/>
  <c r="J34" i="18"/>
  <c r="G19" i="18"/>
  <c r="J43" i="18"/>
  <c r="J35" i="18"/>
  <c r="J57" i="18"/>
  <c r="J36" i="18"/>
  <c r="J54" i="18"/>
  <c r="J62" i="18"/>
  <c r="J11" i="18"/>
  <c r="J27" i="18"/>
  <c r="J49" i="18"/>
  <c r="J48" i="18"/>
  <c r="I30" i="17"/>
  <c r="I79" i="17"/>
  <c r="I76" i="17"/>
  <c r="I41" i="17"/>
  <c r="I81" i="17"/>
  <c r="I75" i="17"/>
  <c r="J12" i="17"/>
  <c r="I19" i="17"/>
  <c r="I84" i="17"/>
  <c r="I80" i="17"/>
  <c r="I77" i="17"/>
  <c r="I78" i="17"/>
  <c r="I52" i="17"/>
  <c r="I83" i="17"/>
  <c r="I82" i="17"/>
  <c r="I63" i="17"/>
  <c r="I74" i="17"/>
  <c r="E84" i="42"/>
  <c r="G79" i="17"/>
  <c r="J67" i="17"/>
  <c r="G83" i="17"/>
  <c r="G74" i="17"/>
  <c r="G76" i="17"/>
  <c r="J22" i="17"/>
  <c r="G77" i="17"/>
  <c r="G80" i="17"/>
  <c r="G19" i="17"/>
  <c r="G75" i="17"/>
  <c r="G78" i="17"/>
  <c r="G41" i="17"/>
  <c r="G30" i="17"/>
  <c r="G81" i="17"/>
  <c r="G63" i="17"/>
  <c r="G82" i="17"/>
  <c r="G52" i="17"/>
  <c r="G84" i="17"/>
  <c r="J9" i="17"/>
  <c r="E101" i="42"/>
  <c r="J46" i="18"/>
  <c r="J72" i="18"/>
  <c r="J55" i="18"/>
  <c r="J33" i="18"/>
  <c r="J67" i="18"/>
  <c r="J20" i="18"/>
  <c r="J69" i="18"/>
  <c r="J65" i="18"/>
  <c r="J14" i="18"/>
  <c r="E74" i="18"/>
  <c r="J15" i="18"/>
  <c r="J32" i="18"/>
  <c r="J45" i="18"/>
  <c r="J56" i="18"/>
  <c r="E82" i="18"/>
  <c r="J23" i="18"/>
  <c r="E52" i="18"/>
  <c r="E83" i="18"/>
  <c r="E75" i="18"/>
  <c r="E19" i="18"/>
  <c r="J40" i="18"/>
  <c r="J28" i="18"/>
  <c r="J47" i="18"/>
  <c r="J29" i="18"/>
  <c r="E63" i="18"/>
  <c r="J58" i="18"/>
  <c r="E79" i="18"/>
  <c r="E78" i="18"/>
  <c r="J64" i="18"/>
  <c r="J16" i="18"/>
  <c r="E77" i="18"/>
  <c r="E30" i="18"/>
  <c r="J59" i="18"/>
  <c r="E81" i="18"/>
  <c r="J60" i="18"/>
  <c r="J37" i="18"/>
  <c r="J21" i="18"/>
  <c r="E41" i="18"/>
  <c r="E76" i="18"/>
  <c r="J24" i="18"/>
  <c r="J38" i="18"/>
  <c r="E80" i="18"/>
  <c r="E84" i="18"/>
  <c r="I77" i="18"/>
  <c r="I81" i="18"/>
  <c r="I74" i="18"/>
  <c r="I52" i="18"/>
  <c r="I78" i="18"/>
  <c r="I79" i="18"/>
  <c r="I75" i="18"/>
  <c r="J9" i="18"/>
  <c r="I76" i="18"/>
  <c r="J18" i="18"/>
  <c r="J26" i="18"/>
  <c r="I80" i="18"/>
  <c r="I63" i="18"/>
  <c r="I82" i="18"/>
  <c r="I83" i="18"/>
  <c r="J22" i="18"/>
  <c r="I19" i="18"/>
  <c r="J10" i="18"/>
  <c r="I30" i="18"/>
  <c r="J44" i="18"/>
  <c r="I41" i="18"/>
  <c r="E59" i="42"/>
  <c r="E57" i="42"/>
  <c r="E56" i="42"/>
  <c r="J45" i="19"/>
  <c r="K1" i="19"/>
  <c r="D62" i="42"/>
  <c r="K62" i="42"/>
  <c r="E55" i="42"/>
  <c r="K82" i="42"/>
  <c r="D85" i="18"/>
  <c r="H85" i="18"/>
  <c r="F85" i="18"/>
  <c r="E85" i="17"/>
  <c r="F85" i="17"/>
  <c r="H85" i="17"/>
  <c r="J84" i="18"/>
  <c r="G85" i="18"/>
  <c r="I85" i="17"/>
  <c r="G85" i="17"/>
  <c r="J75" i="18"/>
  <c r="J63" i="18"/>
  <c r="J78" i="18"/>
  <c r="J80" i="18"/>
  <c r="J74" i="18"/>
  <c r="J79" i="18"/>
  <c r="J81" i="18"/>
  <c r="J19" i="18"/>
  <c r="J30" i="18"/>
  <c r="J82" i="18"/>
  <c r="J52" i="18"/>
  <c r="J77" i="18"/>
  <c r="J83" i="18"/>
  <c r="E85" i="18"/>
  <c r="J41" i="18"/>
  <c r="D106" i="42"/>
  <c r="K106" i="42"/>
  <c r="I85" i="18"/>
  <c r="J76" i="18"/>
  <c r="E62" i="42"/>
  <c r="E106" i="42"/>
  <c r="J85" i="18"/>
  <c r="K1" i="18"/>
  <c r="D105" i="42"/>
  <c r="K105" i="42"/>
  <c r="E105" i="42"/>
  <c r="D65" i="42" l="1"/>
  <c r="D41" i="42"/>
  <c r="E93" i="42"/>
  <c r="K96" i="42"/>
  <c r="K60" i="42"/>
  <c r="E60" i="42"/>
  <c r="D81" i="17"/>
  <c r="J81" i="17" s="1"/>
  <c r="D75" i="17"/>
  <c r="J37" i="17"/>
  <c r="D80" i="17"/>
  <c r="J80" i="17" s="1"/>
  <c r="J42" i="17"/>
  <c r="J36" i="17"/>
  <c r="D52" i="17"/>
  <c r="J52" i="17" s="1"/>
  <c r="D41" i="17"/>
  <c r="J41" i="17" s="1"/>
  <c r="D78" i="17"/>
  <c r="J78" i="17" s="1"/>
  <c r="D74" i="17"/>
  <c r="J74" i="17" s="1"/>
  <c r="D84" i="17"/>
  <c r="J84" i="17" s="1"/>
  <c r="D63" i="17"/>
  <c r="J63" i="17" s="1"/>
  <c r="D19" i="17"/>
  <c r="J19" i="17" s="1"/>
  <c r="D83" i="17"/>
  <c r="J83" i="17" s="1"/>
  <c r="J15" i="17"/>
  <c r="J20" i="17"/>
  <c r="D77" i="17"/>
  <c r="J77" i="17" s="1"/>
  <c r="D79" i="17"/>
  <c r="J79" i="17" s="1"/>
  <c r="J75" i="17"/>
  <c r="J34" i="17"/>
  <c r="J10" i="17"/>
  <c r="J31" i="17"/>
  <c r="D82" i="17"/>
  <c r="J82" i="17" s="1"/>
  <c r="E64" i="42"/>
  <c r="E95" i="42"/>
  <c r="K78" i="42"/>
  <c r="H38" i="15"/>
  <c r="G13" i="15"/>
  <c r="F26" i="15"/>
  <c r="D50" i="15"/>
  <c r="H39" i="15"/>
  <c r="H34" i="15"/>
  <c r="I65" i="15"/>
  <c r="G21" i="15"/>
  <c r="H9" i="15"/>
  <c r="D60" i="15"/>
  <c r="D24" i="15"/>
  <c r="F13" i="15"/>
  <c r="I13" i="15"/>
  <c r="F16" i="15"/>
  <c r="G23" i="15"/>
  <c r="E62" i="15"/>
  <c r="G44" i="15"/>
  <c r="D35" i="15"/>
  <c r="F62" i="15"/>
  <c r="H67" i="15"/>
  <c r="I69" i="15"/>
  <c r="I20" i="15"/>
  <c r="F68" i="15"/>
  <c r="G20" i="15"/>
  <c r="D70" i="15"/>
  <c r="H22" i="15"/>
  <c r="E12" i="15"/>
  <c r="E48" i="15"/>
  <c r="E13" i="15"/>
  <c r="E11" i="15"/>
  <c r="E16" i="15"/>
  <c r="E64" i="15"/>
  <c r="M265" i="16"/>
  <c r="D71" i="42" s="1"/>
  <c r="M300" i="16"/>
  <c r="D72" i="42" s="1"/>
  <c r="M230" i="16"/>
  <c r="D70" i="42" s="1"/>
  <c r="M190" i="16"/>
  <c r="D69" i="42" s="1"/>
  <c r="F44" i="15"/>
  <c r="G11" i="15"/>
  <c r="G64" i="15"/>
  <c r="I50" i="15"/>
  <c r="D26" i="15"/>
  <c r="H50" i="15"/>
  <c r="G36" i="15"/>
  <c r="G53" i="15"/>
  <c r="G56" i="15"/>
  <c r="G33" i="15"/>
  <c r="G9" i="15"/>
  <c r="G62" i="15"/>
  <c r="G28" i="15"/>
  <c r="G46" i="15"/>
  <c r="G65" i="15"/>
  <c r="G57" i="15"/>
  <c r="G35" i="15"/>
  <c r="G70" i="15"/>
  <c r="F58" i="15"/>
  <c r="G50" i="15"/>
  <c r="I58" i="15"/>
  <c r="D22" i="15"/>
  <c r="D68" i="15"/>
  <c r="E65" i="15"/>
  <c r="F21" i="15"/>
  <c r="G42" i="15"/>
  <c r="I53" i="15"/>
  <c r="D64" i="15"/>
  <c r="D71" i="15"/>
  <c r="E72" i="15"/>
  <c r="H68" i="15"/>
  <c r="H10" i="15"/>
  <c r="F43" i="15"/>
  <c r="F72" i="15"/>
  <c r="F51" i="15"/>
  <c r="G24" i="15"/>
  <c r="G58" i="15"/>
  <c r="G22" i="15"/>
  <c r="G47" i="15"/>
  <c r="I18" i="15"/>
  <c r="I57" i="15"/>
  <c r="I59" i="15"/>
  <c r="I17" i="15"/>
  <c r="D25" i="15"/>
  <c r="D46" i="15"/>
  <c r="D20" i="15"/>
  <c r="D62" i="15"/>
  <c r="E58" i="15"/>
  <c r="E68" i="15"/>
  <c r="H35" i="15"/>
  <c r="H17" i="15"/>
  <c r="H71" i="15"/>
  <c r="H45" i="15"/>
  <c r="F37" i="15"/>
  <c r="G59" i="15"/>
  <c r="I23" i="15"/>
  <c r="D23" i="15"/>
  <c r="E42" i="15"/>
  <c r="H26" i="15"/>
  <c r="F50" i="15"/>
  <c r="F69" i="15"/>
  <c r="F36" i="15"/>
  <c r="F67" i="15"/>
  <c r="F28" i="15"/>
  <c r="F15" i="15"/>
  <c r="F64" i="15"/>
  <c r="F66" i="15"/>
  <c r="F65" i="15"/>
  <c r="F40" i="15"/>
  <c r="F70" i="15"/>
  <c r="F33" i="15"/>
  <c r="F10" i="15"/>
  <c r="F32" i="15"/>
  <c r="F53" i="15"/>
  <c r="F14" i="15"/>
  <c r="F42" i="15"/>
  <c r="F11" i="15"/>
  <c r="F46" i="15"/>
  <c r="F27" i="15"/>
  <c r="F25" i="15"/>
  <c r="F61" i="15"/>
  <c r="F23" i="15"/>
  <c r="F55" i="15"/>
  <c r="F71" i="15"/>
  <c r="F49" i="15"/>
  <c r="F59" i="15"/>
  <c r="F47" i="15"/>
  <c r="F57" i="15"/>
  <c r="F45" i="15"/>
  <c r="F35" i="15"/>
  <c r="F34" i="15"/>
  <c r="G32" i="15"/>
  <c r="I68" i="15"/>
  <c r="E40" i="15"/>
  <c r="H59" i="15"/>
  <c r="F39" i="15"/>
  <c r="F18" i="15"/>
  <c r="G54" i="15"/>
  <c r="I10" i="15"/>
  <c r="I9" i="15"/>
  <c r="D44" i="15"/>
  <c r="E59" i="15"/>
  <c r="E73" i="15"/>
  <c r="H36" i="15"/>
  <c r="F12" i="15"/>
  <c r="F38" i="15"/>
  <c r="F54" i="15"/>
  <c r="F48" i="15"/>
  <c r="G10" i="15"/>
  <c r="G61" i="15"/>
  <c r="G71" i="15"/>
  <c r="I62" i="15"/>
  <c r="I38" i="15"/>
  <c r="I51" i="15"/>
  <c r="I61" i="15"/>
  <c r="D17" i="15"/>
  <c r="D39" i="15"/>
  <c r="E9" i="15"/>
  <c r="E61" i="15"/>
  <c r="E36" i="15"/>
  <c r="E27" i="15"/>
  <c r="H32" i="15"/>
  <c r="H49" i="15"/>
  <c r="H12" i="15"/>
  <c r="H13" i="15"/>
  <c r="I44" i="15"/>
  <c r="I49" i="15"/>
  <c r="I34" i="15"/>
  <c r="I32" i="15"/>
  <c r="I21" i="15"/>
  <c r="I46" i="15"/>
  <c r="I45" i="15"/>
  <c r="I31" i="15"/>
  <c r="I48" i="15"/>
  <c r="I16" i="15"/>
  <c r="I73" i="15"/>
  <c r="I40" i="15"/>
  <c r="I28" i="15"/>
  <c r="I27" i="15"/>
  <c r="E47" i="15"/>
  <c r="E10" i="15"/>
  <c r="E46" i="15"/>
  <c r="E18" i="15"/>
  <c r="E33" i="15"/>
  <c r="E26" i="15"/>
  <c r="E23" i="15"/>
  <c r="E43" i="15"/>
  <c r="E38" i="15"/>
  <c r="E53" i="15"/>
  <c r="E37" i="15"/>
  <c r="E35" i="15"/>
  <c r="E24" i="15"/>
  <c r="E69" i="15"/>
  <c r="E14" i="15"/>
  <c r="E29" i="15"/>
  <c r="E17" i="15"/>
  <c r="E28" i="15"/>
  <c r="E60" i="15"/>
  <c r="E15" i="15"/>
  <c r="E34" i="15"/>
  <c r="E57" i="15"/>
  <c r="E21" i="15"/>
  <c r="E51" i="15"/>
  <c r="E20" i="15"/>
  <c r="E25" i="15"/>
  <c r="E66" i="15"/>
  <c r="E67" i="15"/>
  <c r="E31" i="15"/>
  <c r="F17" i="15"/>
  <c r="G18" i="15"/>
  <c r="I15" i="15"/>
  <c r="D48" i="15"/>
  <c r="E55" i="15"/>
  <c r="D57" i="15"/>
  <c r="D72" i="15"/>
  <c r="D45" i="15"/>
  <c r="D34" i="15"/>
  <c r="D10" i="15"/>
  <c r="D55" i="15"/>
  <c r="D65" i="15"/>
  <c r="D42" i="15"/>
  <c r="D12" i="15"/>
  <c r="D31" i="15"/>
  <c r="D16" i="15"/>
  <c r="D36" i="15"/>
  <c r="D54" i="15"/>
  <c r="D14" i="15"/>
  <c r="D11" i="15"/>
  <c r="D32" i="15"/>
  <c r="D28" i="15"/>
  <c r="D69" i="15"/>
  <c r="D49" i="15"/>
  <c r="D73" i="15"/>
  <c r="D47" i="15"/>
  <c r="D15" i="15"/>
  <c r="D61" i="15"/>
  <c r="D33" i="15"/>
  <c r="D18" i="15"/>
  <c r="D66" i="15"/>
  <c r="D38" i="15"/>
  <c r="D53" i="15"/>
  <c r="D67" i="15"/>
  <c r="D43" i="15"/>
  <c r="D13" i="15"/>
  <c r="F31" i="15"/>
  <c r="G31" i="15"/>
  <c r="I72" i="15"/>
  <c r="D40" i="15"/>
  <c r="E50" i="15"/>
  <c r="H61" i="15"/>
  <c r="F20" i="15"/>
  <c r="G34" i="15"/>
  <c r="I22" i="15"/>
  <c r="D29" i="15"/>
  <c r="F73" i="15"/>
  <c r="F29" i="15"/>
  <c r="G49" i="15"/>
  <c r="G72" i="15"/>
  <c r="G26" i="15"/>
  <c r="I71" i="15"/>
  <c r="I47" i="15"/>
  <c r="I60" i="15"/>
  <c r="I70" i="15"/>
  <c r="D59" i="15"/>
  <c r="D27" i="15"/>
  <c r="D9" i="15"/>
  <c r="E44" i="15"/>
  <c r="E22" i="15"/>
  <c r="E54" i="15"/>
  <c r="E45" i="15"/>
  <c r="H40" i="15"/>
  <c r="H16" i="15"/>
  <c r="H21" i="15"/>
  <c r="D58" i="15"/>
  <c r="I64" i="15"/>
  <c r="E32" i="15"/>
  <c r="E56" i="15"/>
  <c r="H72" i="15"/>
  <c r="H73" i="15"/>
  <c r="H64" i="15"/>
  <c r="H69" i="15"/>
  <c r="H14" i="15"/>
  <c r="H42" i="15"/>
  <c r="H23" i="15"/>
  <c r="H66" i="15"/>
  <c r="H55" i="15"/>
  <c r="H65" i="15"/>
  <c r="H46" i="15"/>
  <c r="H60" i="15"/>
  <c r="H62" i="15"/>
  <c r="H33" i="15"/>
  <c r="H54" i="15"/>
  <c r="H57" i="15"/>
  <c r="H37" i="15"/>
  <c r="H56" i="15"/>
  <c r="H28" i="15"/>
  <c r="H51" i="15"/>
  <c r="H18" i="15"/>
  <c r="H24" i="15"/>
  <c r="H27" i="15"/>
  <c r="H48" i="15"/>
  <c r="H20" i="15"/>
  <c r="H47" i="15"/>
  <c r="H11" i="15"/>
  <c r="H43" i="15"/>
  <c r="H53" i="15"/>
  <c r="H15" i="15"/>
  <c r="H70" i="15"/>
  <c r="F22" i="15"/>
  <c r="G14" i="15"/>
  <c r="I33" i="15"/>
  <c r="D56" i="15"/>
  <c r="H44" i="15"/>
  <c r="G25" i="15"/>
  <c r="I42" i="15"/>
  <c r="E49" i="15"/>
  <c r="F56" i="15"/>
  <c r="F60" i="15"/>
  <c r="F9" i="15"/>
  <c r="F24" i="15"/>
  <c r="G43" i="15"/>
  <c r="G16" i="15"/>
  <c r="G51" i="15"/>
  <c r="G73" i="15"/>
  <c r="I11" i="15"/>
  <c r="I56" i="15"/>
  <c r="D21" i="15"/>
  <c r="D37" i="15"/>
  <c r="D51" i="15"/>
  <c r="E70" i="15"/>
  <c r="E39" i="15"/>
  <c r="E71" i="15"/>
  <c r="H58" i="15"/>
  <c r="H25" i="15"/>
  <c r="H29" i="15"/>
  <c r="H31" i="15"/>
  <c r="G17" i="15"/>
  <c r="G29" i="15"/>
  <c r="G48" i="15"/>
  <c r="I26" i="15"/>
  <c r="G66" i="15"/>
  <c r="G68" i="15"/>
  <c r="G45" i="15"/>
  <c r="G39" i="15"/>
  <c r="G60" i="15"/>
  <c r="G12" i="15"/>
  <c r="G40" i="15"/>
  <c r="I36" i="15"/>
  <c r="I37" i="15"/>
  <c r="I12" i="15"/>
  <c r="I39" i="15"/>
  <c r="I25" i="15"/>
  <c r="I14" i="15"/>
  <c r="I35" i="15"/>
  <c r="G67" i="15"/>
  <c r="G69" i="15"/>
  <c r="G38" i="15"/>
  <c r="G55" i="15"/>
  <c r="G27" i="15"/>
  <c r="G15" i="15"/>
  <c r="G37" i="15"/>
  <c r="I66" i="15"/>
  <c r="I54" i="15"/>
  <c r="I55" i="15"/>
  <c r="I29" i="15"/>
  <c r="I67" i="15"/>
  <c r="I43" i="15"/>
  <c r="I24" i="15"/>
  <c r="M155" i="16"/>
  <c r="O126" i="16"/>
  <c r="O127" i="16" s="1"/>
  <c r="M125" i="16"/>
  <c r="D67" i="42" s="1"/>
  <c r="Q69" i="16"/>
  <c r="R69" i="16" s="1"/>
  <c r="R70" i="16" s="1"/>
  <c r="D68" i="42" l="1"/>
  <c r="K68" i="42" s="1"/>
  <c r="K41" i="42"/>
  <c r="E41" i="42"/>
  <c r="K65" i="42"/>
  <c r="E65" i="42"/>
  <c r="J13" i="15"/>
  <c r="D74" i="15"/>
  <c r="D83" i="15"/>
  <c r="D79" i="15"/>
  <c r="J21" i="15"/>
  <c r="J67" i="15"/>
  <c r="J20" i="15"/>
  <c r="G30" i="15"/>
  <c r="J72" i="15"/>
  <c r="D41" i="15"/>
  <c r="E78" i="15"/>
  <c r="J9" i="15"/>
  <c r="J59" i="15"/>
  <c r="J57" i="15"/>
  <c r="J23" i="15"/>
  <c r="J11" i="15"/>
  <c r="J48" i="15"/>
  <c r="E84" i="15"/>
  <c r="E77" i="15"/>
  <c r="E82" i="15"/>
  <c r="E63" i="15"/>
  <c r="J68" i="15"/>
  <c r="J64" i="15"/>
  <c r="J70" i="15"/>
  <c r="D19" i="15"/>
  <c r="J29" i="15"/>
  <c r="I76" i="15"/>
  <c r="F80" i="15"/>
  <c r="J58" i="15"/>
  <c r="G74" i="15"/>
  <c r="G79" i="15"/>
  <c r="I80" i="15"/>
  <c r="J60" i="15"/>
  <c r="G83" i="15"/>
  <c r="J51" i="15"/>
  <c r="J27" i="15"/>
  <c r="J50" i="15"/>
  <c r="D63" i="15"/>
  <c r="J73" i="15"/>
  <c r="J36" i="15"/>
  <c r="D78" i="15"/>
  <c r="F83" i="15"/>
  <c r="E80" i="15"/>
  <c r="I30" i="15"/>
  <c r="F82" i="15"/>
  <c r="J35" i="15"/>
  <c r="J42" i="15"/>
  <c r="G77" i="15"/>
  <c r="J12" i="15"/>
  <c r="I79" i="15"/>
  <c r="H41" i="15"/>
  <c r="D81" i="15"/>
  <c r="J24" i="15"/>
  <c r="J56" i="15"/>
  <c r="J46" i="15"/>
  <c r="J40" i="15"/>
  <c r="J38" i="15"/>
  <c r="J16" i="15"/>
  <c r="J45" i="15"/>
  <c r="E74" i="15"/>
  <c r="E81" i="15"/>
  <c r="F81" i="15"/>
  <c r="J25" i="15"/>
  <c r="J39" i="15"/>
  <c r="D77" i="15"/>
  <c r="J31" i="15"/>
  <c r="E41" i="15"/>
  <c r="E79" i="15"/>
  <c r="J53" i="15"/>
  <c r="G81" i="15"/>
  <c r="H82" i="15"/>
  <c r="E76" i="15"/>
  <c r="F74" i="15"/>
  <c r="G19" i="15"/>
  <c r="G75" i="15"/>
  <c r="D75" i="15"/>
  <c r="D52" i="15"/>
  <c r="F19" i="15"/>
  <c r="F75" i="15"/>
  <c r="J69" i="15"/>
  <c r="G52" i="15"/>
  <c r="D82" i="15"/>
  <c r="H30" i="15"/>
  <c r="G41" i="15"/>
  <c r="J28" i="15"/>
  <c r="F76" i="15"/>
  <c r="E71" i="42"/>
  <c r="K71" i="42"/>
  <c r="D30" i="15"/>
  <c r="D80" i="15"/>
  <c r="J26" i="15"/>
  <c r="E19" i="15"/>
  <c r="I77" i="15"/>
  <c r="F41" i="15"/>
  <c r="J33" i="15"/>
  <c r="J32" i="15"/>
  <c r="I82" i="15"/>
  <c r="I84" i="15"/>
  <c r="H76" i="15"/>
  <c r="G63" i="15"/>
  <c r="F79" i="15"/>
  <c r="I63" i="15"/>
  <c r="D76" i="15"/>
  <c r="F84" i="15"/>
  <c r="J61" i="15"/>
  <c r="J65" i="15"/>
  <c r="J62" i="15"/>
  <c r="E69" i="42"/>
  <c r="K69" i="42"/>
  <c r="H75" i="15"/>
  <c r="D84" i="15"/>
  <c r="J34" i="15"/>
  <c r="H77" i="15"/>
  <c r="H74" i="15"/>
  <c r="J49" i="15"/>
  <c r="H83" i="15"/>
  <c r="E72" i="42"/>
  <c r="K72" i="42"/>
  <c r="F78" i="15"/>
  <c r="E52" i="15"/>
  <c r="I78" i="15"/>
  <c r="G80" i="15"/>
  <c r="J18" i="15"/>
  <c r="E75" i="15"/>
  <c r="J14" i="15"/>
  <c r="J37" i="15"/>
  <c r="J17" i="15"/>
  <c r="I52" i="15"/>
  <c r="H81" i="15"/>
  <c r="H52" i="15"/>
  <c r="I74" i="15"/>
  <c r="F30" i="15"/>
  <c r="J43" i="15"/>
  <c r="J15" i="15"/>
  <c r="J55" i="15"/>
  <c r="I81" i="15"/>
  <c r="E30" i="15"/>
  <c r="I41" i="15"/>
  <c r="H79" i="15"/>
  <c r="G76" i="15"/>
  <c r="J44" i="15"/>
  <c r="F77" i="15"/>
  <c r="J22" i="15"/>
  <c r="H19" i="15"/>
  <c r="F63" i="15"/>
  <c r="I83" i="15"/>
  <c r="J66" i="15"/>
  <c r="G78" i="15"/>
  <c r="G82" i="15"/>
  <c r="H63" i="15"/>
  <c r="H84" i="15"/>
  <c r="H80" i="15"/>
  <c r="J47" i="15"/>
  <c r="J54" i="15"/>
  <c r="J10" i="15"/>
  <c r="G84" i="15"/>
  <c r="E83" i="15"/>
  <c r="H78" i="15"/>
  <c r="I19" i="15"/>
  <c r="I75" i="15"/>
  <c r="F52" i="15"/>
  <c r="J71" i="15"/>
  <c r="K70" i="42"/>
  <c r="E70" i="42"/>
  <c r="E67" i="42"/>
  <c r="K67" i="42"/>
  <c r="E68" i="42" l="1"/>
  <c r="D85" i="15"/>
  <c r="J83" i="15"/>
  <c r="J81" i="15"/>
  <c r="J79" i="15"/>
  <c r="J77" i="15"/>
  <c r="J74" i="15"/>
  <c r="J80" i="15"/>
  <c r="J82" i="15"/>
  <c r="J19" i="15"/>
  <c r="E85" i="15"/>
  <c r="J41" i="15"/>
  <c r="J63" i="15"/>
  <c r="J78" i="15"/>
  <c r="I85" i="15"/>
  <c r="J76" i="15"/>
  <c r="F85" i="15"/>
  <c r="J30" i="15"/>
  <c r="J84" i="15"/>
  <c r="H85" i="15"/>
  <c r="J75" i="15"/>
  <c r="J52" i="15"/>
  <c r="G85" i="15"/>
  <c r="J85" i="15" l="1"/>
  <c r="J88" i="15" s="1"/>
  <c r="J90" i="15" s="1"/>
  <c r="K1" i="15" l="1"/>
  <c r="D74" i="42" s="1"/>
  <c r="E74" i="42" s="1"/>
  <c r="Q45" i="20"/>
  <c r="Q46" i="20" s="1"/>
  <c r="K44" i="20"/>
  <c r="P208" i="20"/>
  <c r="D21" i="17"/>
  <c r="J21" i="17" s="1"/>
  <c r="O23" i="20"/>
  <c r="L23" i="20"/>
  <c r="M23" i="20"/>
  <c r="M44" i="20"/>
  <c r="D81" i="42" s="1"/>
  <c r="K74" i="42" l="1"/>
  <c r="E81" i="42"/>
  <c r="K81" i="42"/>
  <c r="D30" i="17"/>
  <c r="J30" i="17" s="1"/>
  <c r="D76" i="17"/>
  <c r="J76" i="17" l="1"/>
  <c r="D85" i="17"/>
  <c r="J85" i="17" s="1"/>
  <c r="K1" i="17" s="1"/>
  <c r="D88" i="42" s="1"/>
  <c r="E88" i="42" l="1"/>
  <c r="K88" i="42"/>
  <c r="K118" i="42" s="1"/>
  <c r="A7" i="42" s="1"/>
</calcChain>
</file>

<file path=xl/sharedStrings.xml><?xml version="1.0" encoding="utf-8"?>
<sst xmlns="http://schemas.openxmlformats.org/spreadsheetml/2006/main" count="2886" uniqueCount="1168">
  <si>
    <t>Main Telephone Number of Local Educational Agency</t>
  </si>
  <si>
    <t>Tab Title</t>
  </si>
  <si>
    <t>Applicant Information and Certification</t>
  </si>
  <si>
    <t>Local Educational Agency Consolidated Application for</t>
  </si>
  <si>
    <t>Title I, Part A; Title II, Part A; and Title III, Part A</t>
  </si>
  <si>
    <t>of the Elementary and Secondary Education Act of 1965 (ESEA)</t>
  </si>
  <si>
    <t>Chairperson of the Board of Directors</t>
  </si>
  <si>
    <t>Chancellor</t>
  </si>
  <si>
    <t>Part 1: Local Educational Agency Information</t>
  </si>
  <si>
    <t>Name of LEA Executive Director (Public Charter Schools Only)</t>
  </si>
  <si>
    <t>Full Address of Local Educational Agency</t>
  </si>
  <si>
    <t>Email Address of LEA Executive Director (Public Charter Schools Only)</t>
  </si>
  <si>
    <t>Telephone Number of LEA Executive Director (Public Charter Schools Only)</t>
  </si>
  <si>
    <t>Name of Primary LEA Contact for Consolidated Application Programs</t>
  </si>
  <si>
    <t>Name of Additional LEA Contact for Consolidated Application Programs</t>
  </si>
  <si>
    <t>Position Title of Primary LEA Contact for Consolidated Application Programs</t>
  </si>
  <si>
    <t>Position Title of Additional LEA Contact for Consolidated Application Programs</t>
  </si>
  <si>
    <t>Email Address of Primary LEA Contact for Consolidated Application Programs</t>
  </si>
  <si>
    <t>Email Address of Additional LEA Contact for Consolidated Application Programs</t>
  </si>
  <si>
    <t>Telephone Number of Primary LEA Contact for Consolidated Application Programs</t>
  </si>
  <si>
    <t>Telephone Number of Additional LEA Contact for Consolidated Application Programs</t>
  </si>
  <si>
    <t>Date of Certification (input at the time of signature)</t>
  </si>
  <si>
    <t>OSSE Use Only</t>
  </si>
  <si>
    <t>X</t>
  </si>
  <si>
    <t>For each of the assurances listed below, check the gray box to indicate that the Local Educational Agency has read and agrees to comply with the assurance.</t>
  </si>
  <si>
    <t>PHASE II: PROGRAM PLANS</t>
  </si>
  <si>
    <t>Date Phase II Application First Received:</t>
  </si>
  <si>
    <t>Date Phase II Application Approved (first date for reimbursement):</t>
  </si>
  <si>
    <r>
      <t xml:space="preserve">810 First Street, NE, 9th floor, Washington, DC 20002
Phone: 202.727.6436  •   Fax: 202.727.2019   •   </t>
    </r>
    <r>
      <rPr>
        <u/>
        <sz val="11"/>
        <color indexed="56"/>
        <rFont val="Calibri"/>
        <family val="2"/>
      </rPr>
      <t>www.osse.dc.gov</t>
    </r>
    <r>
      <rPr>
        <sz val="11"/>
        <rFont val="Calibri"/>
        <family val="2"/>
      </rPr>
      <t xml:space="preserve">
</t>
    </r>
  </si>
  <si>
    <t>LEA Allocation for Title I, Part A</t>
  </si>
  <si>
    <t>LEA Allocation for Title II, Part A</t>
  </si>
  <si>
    <t>Part 2: Programs for Which the LEA is Applying for Funding</t>
  </si>
  <si>
    <t>Part 4: LEA Certification of Application</t>
  </si>
  <si>
    <t>Part 3: Schedule for Submission of Reimbursement Requests</t>
  </si>
  <si>
    <t>By signing below, the Applicant certifies that all of the information contained in this application is true and accurate to the best of its knowledge.                                                             Additionally, the Applicant certifies that it has read and agrees to all additional assurances and certifications included in Phase II of the application.</t>
  </si>
  <si>
    <t>Monthly (12 workbooks per year)</t>
  </si>
  <si>
    <t>Bi-Monthly (6 workbooks per year)</t>
  </si>
  <si>
    <t>Quarterly (4 workbooks per year)</t>
  </si>
  <si>
    <t>Below, input the allocation, provided by the State Education Agency, for each program for which the LEA is applying for funding through this application.                                                           For Title III, Part A, the LEA is eligible to apply through this application only if the allocation is at least $10,000.                                                                                                                            Please note that allocations are subject to change according to the applicable federal and state statutes, regulations, and policies.</t>
  </si>
  <si>
    <t>LEA Allocation for Title III, Part A</t>
  </si>
  <si>
    <t>Category 1: Salaries and Benefits</t>
  </si>
  <si>
    <t xml:space="preserve">Name of Individual                                                                                       -------------------                                                                                (one individual per line)                                                              </t>
  </si>
  <si>
    <t>Position Title</t>
  </si>
  <si>
    <r>
      <t xml:space="preserve">Program Category            </t>
    </r>
    <r>
      <rPr>
        <sz val="10"/>
        <rFont val="Calibri"/>
        <family val="2"/>
      </rPr>
      <t>(select from     drop-down menu)</t>
    </r>
  </si>
  <si>
    <t xml:space="preserve">Category 2: Supplies and Materials:                                                                                                                                                                                                                                                                                                                                                                                </t>
  </si>
  <si>
    <t>Category 3: Fixed Costs</t>
  </si>
  <si>
    <r>
      <t xml:space="preserve">Category 5: Equipment, </t>
    </r>
    <r>
      <rPr>
        <b/>
        <i/>
        <sz val="11"/>
        <rFont val="Calibri"/>
        <family val="2"/>
      </rPr>
      <t>defined as</t>
    </r>
    <r>
      <rPr>
        <b/>
        <sz val="11"/>
        <rFont val="Calibri"/>
        <family val="2"/>
      </rPr>
      <t xml:space="preserve">                                                                                                                                                                                                                                                                                                                       "tangible personal property having a useful life of more than one year, not considered a supply, with an acquisition cost of $5,000 or more per unit"</t>
    </r>
  </si>
  <si>
    <t>Category 6: Other</t>
  </si>
  <si>
    <t>Brief Description of Job Responsibilities                                                                                                                                                                                                                                    -----------------------------------------------------------------                                                                                                                                                                                                                   (up to 100 characters sufficient to demonstrate that the responsibilities align with allowable activities described in the LEA's narrative)</t>
  </si>
  <si>
    <t>Item to be Purchased</t>
  </si>
  <si>
    <t>Instruction</t>
  </si>
  <si>
    <t>Support Services</t>
  </si>
  <si>
    <t>Other</t>
  </si>
  <si>
    <t>Brief Description of Purpose of Purchase                                                                                                                                                                                                                                   -----------------------------------------------------------------                                                                                                                                                                                                                   (up to 100 characters sufficient to demonstrate that the purchase aligns with allowable activities described in the LEA's narrative)</t>
  </si>
  <si>
    <t>Definitions and Examples for Each Program Category and Budget Category</t>
  </si>
  <si>
    <t>DIRECT COSTS</t>
  </si>
  <si>
    <t>Budget Categories</t>
  </si>
  <si>
    <t>Salaries and Benefits</t>
  </si>
  <si>
    <t>Supplies and Materials</t>
  </si>
  <si>
    <t xml:space="preserve">Fixed Property Costs </t>
  </si>
  <si>
    <t>Contracted Professional Services</t>
  </si>
  <si>
    <t>Equipment</t>
  </si>
  <si>
    <t xml:space="preserve">Other                          </t>
  </si>
  <si>
    <t>Program Categories</t>
  </si>
  <si>
    <t>Teachers, Project Directors, Coaches,  Substitute Teachers, Teacher's Aides, Reading Specialists, Classroom Paraprofessionals</t>
  </si>
  <si>
    <t>General Supplies, Textbooks,  Instructional Aids, Instructional Software, Internet Fees - Site License</t>
  </si>
  <si>
    <t>Rental of Instruction Equipment</t>
  </si>
  <si>
    <t>Contracted Teachers or Substitute Teachers (those that are not an official employee)</t>
  </si>
  <si>
    <t>Machinery, Furniture, Fixtures, Technology-related Hardware more than $5,000 per unit (according to OSSE's equipment policy)</t>
  </si>
  <si>
    <t>Dues and Fees, Reimbursement of Tuition, Teacher Aide Education, Travel Costs, Non-Payroll Taxes, Miscellaneous</t>
  </si>
  <si>
    <r>
      <t xml:space="preserve">SUPPORT SERVICES
</t>
    </r>
    <r>
      <rPr>
        <sz val="10"/>
        <rFont val="Calibri"/>
        <family val="2"/>
      </rPr>
      <t>The technical and logistical support to facilitate and enhance instruction. These are services within programs that aid in fulfilling that program's instructional objectives or community service goals, rather than being full-service entities.  Such services include activities or stipends associated with providing professional development to the instructional staff, assessing and improving the well-being of students, and supplementing the teaching process.</t>
    </r>
  </si>
  <si>
    <t>Tutors, Librarians, Counselors, Audiovisual, Curriculum Consultants, Program Evaluators,  Psychologists, Social Workers, Nurses, Attendance Personnel, Record Clerks,  Instructional Staff Trainers, Chief Academic Officer, Dean of Students</t>
  </si>
  <si>
    <t>Rental of Support Services Equipment</t>
  </si>
  <si>
    <t>Contracted Consultants, Counselors, Therapists,  Doctors or Instructional Staff Trainers.  
Fees for Professional Development, In-service Training, or Conference Registration</t>
  </si>
  <si>
    <t>Office assistants, Clerks, Researchers, Public Relations,   Project Directors, Purchasers, Accounting, Human Resources, Printers, Publishers, Data Processing</t>
  </si>
  <si>
    <t>General Supplies, Books, Periodicals</t>
  </si>
  <si>
    <t>Rental of Administrative Equipment</t>
  </si>
  <si>
    <t>Auditors, Lawyers, Accountants, Admin Staff Trainers</t>
  </si>
  <si>
    <r>
      <t xml:space="preserve">OPERATIONS AND MAINTENANCE
</t>
    </r>
    <r>
      <rPr>
        <sz val="10"/>
        <rFont val="Calibri"/>
        <family val="2"/>
      </rPr>
      <t>The activities concerned with keeping the physical plant open and comfortable; maintaining safety in buildings, grounds, and the vicinity of schools; and keeping the grounds, buildings, and equipment in effective working condition and state of repair.</t>
    </r>
  </si>
  <si>
    <t>Maintenance, Security, Cooks</t>
  </si>
  <si>
    <t>General Supplies</t>
  </si>
  <si>
    <t>Utility Services, Cleaning Services, Repair and Maintenance Services, Rentals, Other Property Services</t>
  </si>
  <si>
    <t>Other Contracted Services</t>
  </si>
  <si>
    <r>
      <t xml:space="preserve">STUDENT TRANSPORTATION
</t>
    </r>
    <r>
      <rPr>
        <sz val="10"/>
        <rFont val="Calibri"/>
        <family val="2"/>
      </rPr>
      <t>Those activities concerned with conveying students to and from school as part of the School Choice requirements for schools in School Improvement.</t>
    </r>
  </si>
  <si>
    <t>Bus drivers</t>
  </si>
  <si>
    <t>Rental of Equipment and Vehicles</t>
  </si>
  <si>
    <t>OTHER</t>
  </si>
  <si>
    <t>Salaries</t>
  </si>
  <si>
    <t>Rents and Utilities</t>
  </si>
  <si>
    <t>Contracts</t>
  </si>
  <si>
    <t>Operations and Maintenance</t>
  </si>
  <si>
    <t>Total Amount of Funds to be Paid for Supplies and Materials</t>
  </si>
  <si>
    <t>Total Estimated FTEs to be Funded from this Source</t>
  </si>
  <si>
    <t>Total Amount of Funds to be Paid for Salaries and Benefits</t>
  </si>
  <si>
    <t>Administration</t>
  </si>
  <si>
    <t>Student Transportation</t>
  </si>
  <si>
    <t>Total Amount of Funds to be Paid for Fixed Property Costs</t>
  </si>
  <si>
    <t>Category 4: Contractual Services</t>
  </si>
  <si>
    <t>Total Amount of Funds to be Paid for Contractual Services</t>
  </si>
  <si>
    <t>Total Amount of Funds to be Paid for Equipment</t>
  </si>
  <si>
    <t>Total Amount of Funds to be Paid for Other Costs</t>
  </si>
  <si>
    <t>Budget for Consolidated Schoolwide Program Funds</t>
  </si>
  <si>
    <t xml:space="preserve"> Portion of a Full-Time Equivalent Position (Annual Salary &amp; Benefits) Covered                          </t>
  </si>
  <si>
    <t>Total Dollar Amount to be Paid from this Funding Source</t>
  </si>
  <si>
    <t>Total Dollar Amount from this Funding Source to be Paid for this Item</t>
  </si>
  <si>
    <t>Budget for Title I, Part A Funds (Unconsolidated)</t>
  </si>
  <si>
    <t>Financial Incentives</t>
  </si>
  <si>
    <t>Homeless</t>
  </si>
  <si>
    <t>Equitable Services</t>
  </si>
  <si>
    <t>Prof. Development</t>
  </si>
  <si>
    <t>Neg. &amp; Delinquent</t>
  </si>
  <si>
    <t>Parent Involvement</t>
  </si>
  <si>
    <t>SUB-TOTAL</t>
  </si>
  <si>
    <t>TOTAL OF ALL PROGRAM CATEGORIES</t>
  </si>
  <si>
    <t>GRAND TOTAL</t>
  </si>
  <si>
    <t xml:space="preserve">Other  </t>
  </si>
  <si>
    <t>Total of All Budget Categories</t>
  </si>
  <si>
    <r>
      <t xml:space="preserve">Set-Aside Category            </t>
    </r>
    <r>
      <rPr>
        <sz val="10"/>
        <rFont val="Calibri"/>
        <family val="2"/>
      </rPr>
      <t>(select from     drop-down menu)</t>
    </r>
  </si>
  <si>
    <t>Set-Aside Category            (select from     drop-down menu)</t>
  </si>
  <si>
    <t>Recruit./Retention</t>
  </si>
  <si>
    <t>Class-size Reduction</t>
  </si>
  <si>
    <t>Teacher Advancement</t>
  </si>
  <si>
    <t>Teacher Testing</t>
  </si>
  <si>
    <t>Merit Pay</t>
  </si>
  <si>
    <t>Principal Development</t>
  </si>
  <si>
    <t>Mentoring/Induction</t>
  </si>
  <si>
    <t>Budget for Title II, Part A Funds (Unconsolidated)</t>
  </si>
  <si>
    <t>Eng. Proficiency</t>
  </si>
  <si>
    <t>Objectives/Strategies</t>
  </si>
  <si>
    <t>Tutorials</t>
  </si>
  <si>
    <t>Lang. Instruction Prog.</t>
  </si>
  <si>
    <t>Parent/Community</t>
  </si>
  <si>
    <t>Curricula/Materials</t>
  </si>
  <si>
    <t>Ed. Technology</t>
  </si>
  <si>
    <t>Budget for Title III, Part A Funds (Unconsolidated)</t>
  </si>
  <si>
    <t>Operations &amp; Maintenance</t>
  </si>
  <si>
    <t>Fixed Property Costs</t>
  </si>
  <si>
    <t xml:space="preserve">Category 2: Supplies and Materials                                                                                                                                                                                                                                                                                                                                      </t>
  </si>
  <si>
    <t>Contractual Services</t>
  </si>
  <si>
    <t>Type of Activity            (select from     drop-down menu)</t>
  </si>
  <si>
    <t>Program Category            (select from     drop-down menu)</t>
  </si>
  <si>
    <t>Off the Top Reserve</t>
  </si>
  <si>
    <r>
      <t xml:space="preserve">SUBMIT </t>
    </r>
    <r>
      <rPr>
        <b/>
        <u/>
        <sz val="11"/>
        <color indexed="10"/>
        <rFont val="Calibri"/>
        <family val="2"/>
      </rPr>
      <t>BOTH</t>
    </r>
    <r>
      <rPr>
        <b/>
        <sz val="11"/>
        <color indexed="10"/>
        <rFont val="Calibri"/>
        <family val="2"/>
      </rPr>
      <t xml:space="preserve"> A MICROSOFT EXCEL VERSION OF THIS FULL WORKBOOK </t>
    </r>
    <r>
      <rPr>
        <b/>
        <u/>
        <sz val="11"/>
        <color indexed="10"/>
        <rFont val="Calibri"/>
        <family val="2"/>
      </rPr>
      <t>AND</t>
    </r>
    <r>
      <rPr>
        <b/>
        <sz val="11"/>
        <color indexed="10"/>
        <rFont val="Calibri"/>
        <family val="2"/>
      </rPr>
      <t xml:space="preserve"> A SIGNED, SCANNED COPY OF THIS PAGE BY EMAIL TO </t>
    </r>
    <r>
      <rPr>
        <b/>
        <u/>
        <sz val="11"/>
        <color indexed="10"/>
        <rFont val="Calibri"/>
        <family val="2"/>
      </rPr>
      <t>CON.APP@DC.GOV</t>
    </r>
    <r>
      <rPr>
        <b/>
        <sz val="11"/>
        <color indexed="10"/>
        <rFont val="Calibri"/>
        <family val="2"/>
      </rPr>
      <t>.</t>
    </r>
  </si>
  <si>
    <t>Required and Optional Set-Asides and Reservations from Title I, Part A Funds</t>
  </si>
  <si>
    <t>Parental Involvement Set-Aside</t>
  </si>
  <si>
    <t>Yes</t>
  </si>
  <si>
    <t>No</t>
  </si>
  <si>
    <t>Amount of Equitable Services Reservation:</t>
  </si>
  <si>
    <t>Below, explain the process used to determine the amount to be reserved from the Title I, Part A allocation to provide equitable services.  OSSE may require documentation of this process prior to approval of the Consolidated Application.</t>
  </si>
  <si>
    <t>Reservation for Homeless Children in Non-Title I Schools</t>
  </si>
  <si>
    <t>Amount of Reservation for Homeless Children:</t>
  </si>
  <si>
    <t>Amount of Reservation for Neglected and Delinquent Children:</t>
  </si>
  <si>
    <t>Below, explain the process used to determine the amount to be reserved from the Title I, Part A allocation to provide services to neglected and delinquent children.</t>
  </si>
  <si>
    <t>Reservation for Neglected and Delinquent Children</t>
  </si>
  <si>
    <t>Amount of Optional Set-Aside for Costs of Administration of the Grant Program:</t>
  </si>
  <si>
    <t>Administrative Set-Aside</t>
  </si>
  <si>
    <t>Financial Incentives and Rewards Set-Aside</t>
  </si>
  <si>
    <t>Amount of Optional Set-Aside for Financial Incentives and Rewards:</t>
  </si>
  <si>
    <t>Additional Off the Top Reservation</t>
  </si>
  <si>
    <t>Amount of Additional Off the Top Reservation:</t>
  </si>
  <si>
    <t xml:space="preserve">Below, explain with specificity the need/s identified by the LEA that support the reservation of additional funds "off the top."   </t>
  </si>
  <si>
    <t>TOTAL OF ALL SET-ASIDES AND RESERVATIONS FROM THE LEA'S TITLE I, PART A ALLOCATION:                                               (For LEAs electing to consolidate funds within SWP schools, this amount can NOT be consolidated.)</t>
  </si>
  <si>
    <t>Optional Consolidation of Funds in a Consolidated Schoolwide Program Pool of Funds</t>
  </si>
  <si>
    <t>Maximum Available for Consolidation from Title I, Part A (for reference):</t>
  </si>
  <si>
    <t>Total Amount of Title I, Part A Funds to be Consolidated in Consolidated Schoolwide Program Pool:</t>
  </si>
  <si>
    <t>Total Amount of Title II, Part A Funds to be Consolidated in Consolidated Schoolwide Program Pool:</t>
  </si>
  <si>
    <t>Total Amount of Title III, Part A Funds to be Consolidated in Consolidated Schoolwide Program Pool:</t>
  </si>
  <si>
    <t>Total Amount of Local Funds to be Consolidated in Consolidated Schoolwide Program Pool:</t>
  </si>
  <si>
    <t>TOTAL AMOUNT IN CONSOLIDATED SCHOOLWIDE PROGRAM POOL OF FUNDS:</t>
  </si>
  <si>
    <t>Estimated Percentage of Title II, Part A Funds (Unconsolidated) Dedicated to These Activities:</t>
  </si>
  <si>
    <t>Recruitment and/or Retention Initiatives for Highly Qualified Teachers and Principals</t>
  </si>
  <si>
    <t>Follow the directions below to indicate how the LEA plans to use Title II, Part A (Unconsolidated) funds.                                                                                                                                                                                                                                   If all Title II, Part A funds are consolidated in a Consolidated Schoolwide Program pool of funds, skip this section.</t>
  </si>
  <si>
    <t xml:space="preserve">Professional Development </t>
  </si>
  <si>
    <t>Teacher Mentoring and/or Induction</t>
  </si>
  <si>
    <t>Merit Pay and/or Financial Incentives</t>
  </si>
  <si>
    <t>Class-Size Reduction Through Hiring Highly Qualified Teachers</t>
  </si>
  <si>
    <t>Other Allowable Activities</t>
  </si>
  <si>
    <t>Follow the directions below to indicate how the LEA plans to use Title III, Part A (Unconsolidated) funds.                                                                                                                                                                                                                                   If all Title III, Part A funds are consolidated in a Consolidated Schoolwide Program pool of funds, skip this section.</t>
  </si>
  <si>
    <t>Estimated Percentage of Title III, Part A Funds (Unconsolidated) Dedicated to These Activities:</t>
  </si>
  <si>
    <t>Identifying, Acquiring, and Upgrading Curricula, Instructional Materials, and Assessment Procedures</t>
  </si>
  <si>
    <t>Upgrading Program Objectives and Effective Instruction Strategies</t>
  </si>
  <si>
    <t>Tutorials for Limited English Proficient Children</t>
  </si>
  <si>
    <t>Developing Language Instruction Educational Programs</t>
  </si>
  <si>
    <t>Community Participation, Family Literacy Services, and Parent Outreach and Training Activities</t>
  </si>
  <si>
    <t>Improving Instruction of Limited English Proficient Children Through Education Technology</t>
  </si>
  <si>
    <r>
      <t xml:space="preserve">All allowable uses of Title III, Part A funds are outlined in Section 3115 of the Elementary and Secondary Education Act.  Below, provide summary information regarding the LEA's planned uses of funds.   While the first two categories of activities are </t>
    </r>
    <r>
      <rPr>
        <i/>
        <sz val="10"/>
        <rFont val="Calibri"/>
        <family val="2"/>
      </rPr>
      <t>required</t>
    </r>
    <r>
      <rPr>
        <sz val="10"/>
        <rFont val="Calibri"/>
        <family val="2"/>
      </rPr>
      <t>, all others are optional, authorized activities.  Therefore, the LEA need not complete all sections, depending on its planned uses of funds.  Costs for administering the grant may fall in any (one of more) of the categories; no more than 2% of the LEA's allocation may be used for administration (which OSSE will review on the budget worksheet).</t>
    </r>
  </si>
  <si>
    <t>Professional Development as REQUIRED by Section 3115(c)(2)</t>
  </si>
  <si>
    <t>High-Quality Language Instruction to Increase English Proficiency and Academic Achievement as REQUIRED by Section 3115(c)(1)</t>
  </si>
  <si>
    <t>Summary of Planned Expenditures from Title III, Part A (Unconsolidated) Funds</t>
  </si>
  <si>
    <t>Summary of Planned Expenditures from Title II, Part A (Unconsolidated) Funds</t>
  </si>
  <si>
    <t>Detailed Planned Expenditures from Title I, Part A (Unconsolidated) Funds</t>
  </si>
  <si>
    <t>Detailed Planned Expenditures from Title II, Part A (Unconsolidated) Funds</t>
  </si>
  <si>
    <t>Detailed Planned Expenditures from Title III, Part A (Unconsolidated) Funds</t>
  </si>
  <si>
    <t>Summary of Planned Expenditures from Title I, Part A (Unconsolidated) Funds</t>
  </si>
  <si>
    <t>Initiative #1 (input name/brief identifying phrase):</t>
  </si>
  <si>
    <t>Initiative #10 (input name/brief identifying phrase):</t>
  </si>
  <si>
    <t>Initiative #9 (input name/brief identifying phrase):</t>
  </si>
  <si>
    <t>Initiative #8 (input name/brief identifying phrase):</t>
  </si>
  <si>
    <t>Initiative #7 (input name/brief identifying phrase):</t>
  </si>
  <si>
    <t>Initiative #6 (input name/brief identifying phrase):</t>
  </si>
  <si>
    <t>Initiative #5 (input name/brief identifying phrase):</t>
  </si>
  <si>
    <t>Initiative #4 (input name/brief identifying phrase):</t>
  </si>
  <si>
    <t>Initiative #3 (input name/brief identifying phrase):</t>
  </si>
  <si>
    <t>Initiative #2 (input name/brief identifying phrase):</t>
  </si>
  <si>
    <t>Summary of Planned Expenditures from Consolidated Schoolwide Program Funds</t>
  </si>
  <si>
    <t>Follow the directions below to indicate how the LEA plans to use Consolidated Schoolwide Program Funds.                                                                                                                                                                                                                                   If no funds are being consolidated in a Consolidated Schoolwide Program pool of funds, skip this section.</t>
  </si>
  <si>
    <t>Below,  for all funds that are consolidated in the Consolidated Schoolwide Program pool of funds, the LEA must provide summaries of planned uses of funds in categories according to the initiatives/activities the LEA will pay for at least partially with Consolidated Schoolwide Program funds.  For example, if all Consolidated Schoolwide Program funds will be used for salaries for school improvement coaches, salaries of highly qualified teachers for class-size reduction purposes, and costs associated with a tutoring program for the most at-risk students, the LEA should summarize these three initiatives in two sections of this worksheet.  ALL PLANNED EXPENDITURES MUST ALIGN WITH THE LEA-APPROVED SCHOOLWIDE PLAN/S.</t>
  </si>
  <si>
    <r>
      <t xml:space="preserve">The purpose of Title I, Part A funds is to enable school to provide opportunities for children served to acquire the knowledge and skills contained in the challenging state content standards and to meet the challenging state performance standards developed for all children.  The law provides many flexibilities and opportunities for LEAs and schools to meet the purpose of Title I, Part A.  In schoolwide program schools, an LEA may use Title I, Part A funds for any activities that are part of the schoolwide program plan.  Under the Title I, Part A statute, any school that consolidates and uses funds from different federal programs is not required to maintain separate fiscal accounting records by program, that identify the specific activities supported by those particular funds; </t>
    </r>
    <r>
      <rPr>
        <i/>
        <sz val="10"/>
        <rFont val="Calibri"/>
        <family val="2"/>
      </rPr>
      <t>however, the school must maintain records that demonstrate that the schoolwide program, as a whole, addresses the intents and purposes of each of the federal programs being consolidated to support the schoolwide program</t>
    </r>
    <r>
      <rPr>
        <sz val="10"/>
        <rFont val="Calibri"/>
        <family val="2"/>
      </rPr>
      <t xml:space="preserve">.  </t>
    </r>
  </si>
  <si>
    <t xml:space="preserve">Follow the directions below to indicate the amount of funds, if any, that will be consolidated in the LEA's Consolidated Schoolwide Program pool of funds.                                              </t>
  </si>
  <si>
    <t>Title I, Part A requires LEAs to use data to guide them in determining which students are failing, or are most at-risk for failing, the state’s academic achievement standards, and, based on this data, develop appropriate interventions and instructional strategies to improve student performance on the state’s academic assessments.  Title I, Part A also requires LEAs to determine what revisions are required on an annual basis to Title I, Part A programs to ensure that at-risk children meet the state’s academic standards.  LEAs must analyze student performance on the DC CAS, as well as other data sources, on at least an annual basis to assess student instructional needs to ensure programs supported with Title I, Part A funds effectively target those needs.  Accordingly, OSSE is requiring an assurance from all LEAs that they have performed a needs assessment and designed instructional strategies and other interventions supported with Title I, Part A funds based on the results of the needs assessment.
If the LEA has performed the required needs assessment, check the required assurance below and indicate the applicable data sources that guide the LEA’s Title I, Part A program strategies (including the potential consolidation of funds in a Consolidated Schoolwide Program pool of funds).</t>
  </si>
  <si>
    <t>The LEA assures that it performed a needs assessment and developed its Title I, Part A program based on its needs assessment.  The LEA further assures that the materials checked below will be available to OSSE upon request.</t>
  </si>
  <si>
    <t>Indicate the beginning date of the most recent comprehensive needs assessment.</t>
  </si>
  <si>
    <t>Indicate the ending date of the most recent comprehensive needs assessment.</t>
  </si>
  <si>
    <t>Please indicate below the data sources that were used to perform the needs assessment.</t>
  </si>
  <si>
    <t>Other student achievement test data (please specify)</t>
  </si>
  <si>
    <t>Attendance rates</t>
  </si>
  <si>
    <t>Enrollment counts</t>
  </si>
  <si>
    <t>Dropout rates</t>
  </si>
  <si>
    <t>Graduation rates</t>
  </si>
  <si>
    <t>DC CAS (required for LEAs serving grades 3 and above)</t>
  </si>
  <si>
    <t>English language proficiency assessments</t>
  </si>
  <si>
    <t>Demographic information/statistics</t>
  </si>
  <si>
    <t>Other (please specify)</t>
  </si>
  <si>
    <t>Quantitative Data Sources:</t>
  </si>
  <si>
    <t>Qualitative Data Sources:</t>
  </si>
  <si>
    <t>Surveys (such as parent surveys, teacher surveys, student surveys)</t>
  </si>
  <si>
    <t>Interviews with appropriate stakeholders (such as parents, members of the community, etc.)</t>
  </si>
  <si>
    <t>Evaluations of safety issues that may be barriers to learning</t>
  </si>
  <si>
    <t>Focus groups</t>
  </si>
  <si>
    <t>Classroom observations</t>
  </si>
  <si>
    <t>The Local Educational Agency (LEA) hereby assures the State Education Agency (SEA) that:</t>
  </si>
  <si>
    <t>The LEA has engaged in timely and meaningful consultation with appropriate private school officials during the design and development of the LEA's Title 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</si>
  <si>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 xml:space="preserve">Please indicate the date(s) of consultation meetings with private school officials: </t>
  </si>
  <si>
    <t>(If an existing document can evidence the consultation dates, the LEA may submit that information as an attachment.)</t>
  </si>
  <si>
    <t>The LEA assures it has established, in consultation with appropriate private school officials, multiple, educationally related, objective criteria to identify private school students for Title I services.</t>
  </si>
  <si>
    <t>The LEA assures it has determined, in consultation with appropriate private school officials, how the Title I program that is provided to private school students will be assessed, what the agreed upon standards are, and how the annual progress will be measured.</t>
  </si>
  <si>
    <t>The LEA assures that it will reserve and spend an equitable amount of Title II, Part A funds to provide services to private school students, teachers, and other educational personnel.</t>
  </si>
  <si>
    <t>The LEA has engaged in timely and meaningful consultation with appropriate private school officials during the design and development of the LEA's Title II,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</si>
  <si>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Title III, Part A</t>
  </si>
  <si>
    <t>Title I, Part A</t>
  </si>
  <si>
    <t>The LEA has engaged in timely and meaningful consultation with appropriate private school officials during the design and development of the LEA's Title III, Part A program for eligible private school students, their teachers, and families.  The LEA must maintain and provide to OSSE a written affirmation, signed by officials of each private school with participating children or appropriate representatives of the private school officials that the required consultation has occurred.</t>
  </si>
  <si>
    <t>Title II, Part A</t>
  </si>
  <si>
    <t>The LEA assures that it will reserve and spend an equitable amount of Title III, Part A funds to provide services to private school students, teachers, and other educational personnel.</t>
  </si>
  <si>
    <t>Amount of Title I, Part A Equitable Services Reservation:</t>
  </si>
  <si>
    <t>Amount of Title II, Part A Equitable Services Reservation:</t>
  </si>
  <si>
    <t>Below, explain the process used to determine the amount to be reserved from the Title II, Part A allocation to provide equitable services.  OSSE may require documentation of this process prior to approval of the Consolidated Application.</t>
  </si>
  <si>
    <t>Amount of Title III, Part A Equitable Services Reservation:</t>
  </si>
  <si>
    <t>Below, explain the process used to determine the amount to be reserved from the Title III, Part A allocation to provide equitable services.  OSSE may require documentation of this process prior to approval of the Consolidated Application.</t>
  </si>
  <si>
    <t>Title I, Part A Comparability</t>
  </si>
  <si>
    <t>Maintenance of Effort</t>
  </si>
  <si>
    <r>
      <t xml:space="preserve">The LEA will submit an annual report demonstrating its compliance with the requirement to use state/local funds to provide services in Title I schools that, taken as a whole, are at least comparable to the services provided in schools that are not receiving Title I funds.  The final version of this report will be submitted to OSSE by </t>
    </r>
    <r>
      <rPr>
        <b/>
        <u/>
        <sz val="10"/>
        <rFont val="Calibri"/>
        <family val="2"/>
      </rPr>
      <t>no later than the first of February each year</t>
    </r>
    <r>
      <rPr>
        <sz val="10"/>
        <rFont val="Calibri"/>
        <family val="2"/>
      </rPr>
      <t xml:space="preserve">, </t>
    </r>
  </si>
  <si>
    <r>
      <t xml:space="preserve">The LEA will complete its initial comparability determinations and submit an initial report to OSSE annually by </t>
    </r>
    <r>
      <rPr>
        <b/>
        <u/>
        <sz val="10"/>
        <rFont val="Calibri"/>
        <family val="2"/>
      </rPr>
      <t>no later than the first of December each year</t>
    </r>
    <r>
      <rPr>
        <sz val="10"/>
        <rFont val="Calibri"/>
        <family val="2"/>
      </rPr>
      <t>.  If necessary, the LEA will make all appropriate corrections to Title I schools shown not to be comparable as soon as possible after the initial comparability determinations and by no later than the month of January.</t>
    </r>
  </si>
  <si>
    <t>With its annual Comparability report, due by no later than the first of February, the LEA will provide a full description of the process and data used to complete the report, which must align with the U.S. Department of Education's Non-Regulatory Guidance on Title I Fiscal Issues.</t>
  </si>
  <si>
    <t>With its annual Maintenance of Effort report, due by no later than the first of February, the LEA will provide a full description of the process and data used to complete the report, which must align with the U.S. Department of Education's Non-Regulatory Guidance on Title I Fiscal Issues and may use as its measure either aggregate expenditures of expenditures per pupil, whichever is most favorable to the LEA.</t>
  </si>
  <si>
    <t xml:space="preserve">The purpose of Title I, Part A funds is to enable school to provide opportunities for children served to acquire the knowledge and skills contained in the challenging state content standards and to meet the challenging state performance standards developed for all children.  The law provides many flexibilities and opportunities for LEAs and schools to meet the purpose of Title I, Part A.  In schoolwide program schools, an LEA may use Title I, Part A funds for any activities that are part of the schoolwide program plan.  </t>
  </si>
  <si>
    <t>Follow the directions below to indicate how the LEA plans to use Title I, Part A (Unconsolidated) Funds.                                                                                                                                                                                                                           If all Title I, Part A funds (or all Title I funds except required and optional set-asides/reservations) are being consolidated in a Consolidated Schoolwide Program pool of funds, skip this section.</t>
  </si>
  <si>
    <t>Additional Assurances Applicable to District of Columbia Public Schools (DCPS) Only</t>
  </si>
  <si>
    <t xml:space="preserve">Title II, Part A requires LEAs to conduct an assessment of local needs for professional development and hiring.  The purpose of the needs assessment is to determine the needs of the LEA’s teaching force in order to have all students meet challenging state content and academic achievement standards. An LEA may want to use information such as student achievement data, information about numbers of teachers (disaggregated by subject taught and grade level) who lack full teacher certification or licensure, assessments by administrators and mentor teachers who evaluate teacher and student performance, and teacher self-evaluations. </t>
  </si>
  <si>
    <t>The LEA assures that it has conducted an assessment of local needs for professional development and hiring that takes into account the activities that need to be conducted in order to give teachers the means, including subject matter knowledge and teaching skills to provide students with the opportunity to meet challenging state and local student academic assessments, and to give principals the instructional leadership skills to help teachers.  This needs assessment was conducted with the involvement of teachers.</t>
  </si>
  <si>
    <t>The LEA assures that it will make records required under Title II, Part A available to OSSE.  The required records shall detail:</t>
  </si>
  <si>
    <t>DC CAS</t>
  </si>
  <si>
    <t>Highly qualified teacher (HQT) data (required for LEAs with less than 100% compliance with HQ requirements)</t>
  </si>
  <si>
    <t>Human resources data (that would yield information on retention rates, vacancies, etc.)</t>
  </si>
  <si>
    <t>Teacher input (such as through teacher surveys, minutes of meetings, etc.)</t>
  </si>
  <si>
    <t>Parent input (such as through parent surveys, minutes of meetings, etc.)</t>
  </si>
  <si>
    <t>Results of the local needs assessment;</t>
  </si>
  <si>
    <t>The activities that the LEA will carry out with program funds, including the professional development provided to teachers and principals and how these activities will align with challenging state academic content standards, student academic achievement standards, state assessments, and the curricula and programs tied to those standards;</t>
  </si>
  <si>
    <t>How the proposed activities are based on a review of scientifically based research and how the activities will have a substantial, measurable, and positive impact on student academic achievement, and how the activities will be used as part of a broader strategy to eliminate the achievement gap that separates the performance of low-income and minority students from other students;</t>
  </si>
  <si>
    <t>How the LEA will coordinate professional development activities authorized under Title II, Part A with professional development activities provided through other federal, state, and local programs;</t>
  </si>
  <si>
    <t>How the LEA will ensure that the professional development needs of teachers (including teacher mentoring) and principals will be met with the LEA’s Title II, Part A funds;</t>
  </si>
  <si>
    <t>How the LEA will integrate Title II, Part A funds with funds the LEA receives through the Enhancing Education Through Technology program (Title II, Part D) to train teachers to integrate technology into curricula and instruction to improve teaching, learning, and technology literacy;</t>
  </si>
  <si>
    <t>How the LEA’s teachers, paraprofessionals, principals, other relevant school personnel, and parents have collaborated in preparing the local plan and will collaborate in the activities to be undertaken;</t>
  </si>
  <si>
    <t>How the LEA will provide training to enable teachers to (1) teach to the needs of students with different learning styles - particularly students with disabilities, students with special learning needs (including those who are gifted and talented), and those with limited English proficiency; (2) improve student behavior in the classroom;  (3) involve parents in their child’s education; and (4) understand and use data and assessments to improve classroom practice and student learning;</t>
  </si>
  <si>
    <t>How the LEA will use Title II, Part A funds to meet the requirements of Title I, Section 1119 of ESEA for teachers and paraprofessionals.  That section requires an SEA to establish annual measurable objectives for each LEA and school that ensure that all teachers of core academic subjects are highly qualified.  It also includes a requirement for the LEA’s plan to include an annual increase in the percentage of teachers who receive high-quality professional development (Section 2122); and</t>
  </si>
  <si>
    <t>How the LEA will:  (1) target program funds to schools that have the lowest proportion of highly qualified teachers, have the largest average class size, or are identified for school improvement under Title I, Section 1116(b); and (2) comply with Title IX, Section 9501 of ESEA regarding participation of private school teachers.</t>
  </si>
  <si>
    <t>Then, in the spaces that follow, describe how the LEA has met the two planning requirements listed below the assurances.</t>
  </si>
  <si>
    <t>The LEA assures that it will provide to OSSE, at the conclusion of every second fiscal year during which the grant is received, an evaluation including all information required by Section 3121 of the ESEA.</t>
  </si>
  <si>
    <t>Planning Requirement 1</t>
  </si>
  <si>
    <t>Planning Requirement 2</t>
  </si>
  <si>
    <t>Below, describe how the LEA will ensure its accountability for: (1) Meeting the annual measurable achievement objectives (AMAOs); (2) Making adequate yearly progress (AYP) for limited English proficient (LEP) students; and (3) Annually measuring the English proficiency of limited English proficient (LEP) students so that children served by the program develop proficiency in English while meeting state academic content and student academic achievement standards.</t>
  </si>
  <si>
    <t>Below, describe how the LEA will promote parental and community participation in programs for Limited English Proficient students.</t>
  </si>
  <si>
    <t>Validation</t>
  </si>
  <si>
    <t>Required and Optional Title I Set-Asides/Reservations</t>
  </si>
  <si>
    <t>Consolidation of Funds in Schoolwide Program Pool</t>
  </si>
  <si>
    <t>Title I, Part A Planning</t>
  </si>
  <si>
    <t>Consolidated Schoolwide Program: Budget</t>
  </si>
  <si>
    <t>Consolidated Schoolwide Program: Expenditure Summary</t>
  </si>
  <si>
    <t>Title I, Part A (Unconsolidated): Expenditure Summary</t>
  </si>
  <si>
    <t>Title I, Part A (Unconsolidated): Expenditure Details</t>
  </si>
  <si>
    <t>Consolidated Schoolwide Program: Expenditure Details</t>
  </si>
  <si>
    <t>Title I, Part A (Unconsolidated): Budget</t>
  </si>
  <si>
    <t>Title II, Part A (Unconsolidated): Planning</t>
  </si>
  <si>
    <t>Title II, Part A (Unconsolidated): Expenditure Summary</t>
  </si>
  <si>
    <t>Title II, Part A (Unconsolidated): Expenditure Details</t>
  </si>
  <si>
    <t>Title II, Part A (Unconsolidated): Budget</t>
  </si>
  <si>
    <t>Title III, Part A (Unconsolidated): Planning</t>
  </si>
  <si>
    <t>Title III, Part A (Unconsolidated): Expenditure Summary</t>
  </si>
  <si>
    <t>Title III, Part A (Unconsolidated): Expenditure Details</t>
  </si>
  <si>
    <t>Title III, Part A (Unconsolidated): Budget</t>
  </si>
  <si>
    <t>Additional Assurances for DCPS Only</t>
  </si>
  <si>
    <t>Reference: Budget Definitions</t>
  </si>
  <si>
    <t>Estimated Percentage of Title I, Part A (Unconsolidated) Funds Dedicated to These Activities:</t>
  </si>
  <si>
    <t>Involvement of Parents and Community Members</t>
  </si>
  <si>
    <t>Please indicate below which methods are used in order to engage with parents and community members.  Documentation may be requested as evidence.</t>
  </si>
  <si>
    <t>Written parental involvement policy (Required by ESEA, see Title I, Part A, Section 1118)</t>
  </si>
  <si>
    <t>Annual Parent Meeting (Required by ESEA, see Title I, Part A, Section 1118)</t>
  </si>
  <si>
    <t>School/Parent Compact (Required by ESEA, see Title I, Part A, Section 1118)</t>
  </si>
  <si>
    <t>Parent-Teacher conferences</t>
  </si>
  <si>
    <t>Parenting Education Programs</t>
  </si>
  <si>
    <t>Family Language Instruction Programs (to parents of English Language Learners)</t>
  </si>
  <si>
    <t>Parent/Family Resource Center</t>
  </si>
  <si>
    <t>Family Literacy Programs</t>
  </si>
  <si>
    <t xml:space="preserve">The participating schools have met all statutory requirements necessary to operate a schoolwide program (see Section 1114 of the ESEA, which is available at http://www.ed.gov/policy/elsec/leg/esea02/pg2.html#sec1114).  These requirements include: 
   •   Having a poverty rate of at least 40%;
   •   Conducting a comprehensive needs assessment of the entire school to determine the performance of its students in relation to the State’s challenging academic content and achievement standards;
   •   Developing a comprehensive plan that meets all statutory requirements to improve teaching and learning in the school, particularly for those students farthest away from demonstrating proficiency on the State's academic content and achievement standards; and
   •   Annually evaluating the implementation of, and the results achieved by, the schoolwide program and revising the plan as necessary based on the results of the evaluation to ensure continuous improvement of students in the school.
Additional information regarding designing schoolwide programs is available at: www.ed.gov/policy/elsec/guid/designingswpguid.doc. </t>
  </si>
  <si>
    <t xml:space="preserve"> The LEA will submit copies of the schoolwide plans for all schools operating schoolwide programs to OSSE upon request.</t>
  </si>
  <si>
    <t>For LEAs with one or more schools/campuses that will operate as targeted assistance schools, the LEA must list, in the cells below, all schools or campuses that will operate as targeted assistance schools.  Within a public charter school LEA operating as a targeted assistance school, this list must include all campuses of the public charter school LEA.</t>
  </si>
  <si>
    <t>For LEAs with one or more schools/campuses that will operate schoolwide programs, the LEA must list, in the cells below, all schools or campuses that will operate schoolwide programs.  Within a public charter school LEA operating a schoolwide program, this list must include all campuses of the public charter school LEA.</t>
  </si>
  <si>
    <t>Identify all extended learning opportunities offered in schoolwide program schools within the LEA outside of the regular school day, per Section 1114(b)(1)(B)(ii)(II) of ESEA.</t>
  </si>
  <si>
    <t>After school (identify participating grade levels):</t>
  </si>
  <si>
    <t>Summer school (identify participating grade levels):</t>
  </si>
  <si>
    <t>Year-round school calendar (identify participating grade levels):</t>
  </si>
  <si>
    <t>Weekend school sessions (identify participating grade levels):</t>
  </si>
  <si>
    <t>Other (please describe):</t>
  </si>
  <si>
    <t>For LEAs with one or more schools/campuses that will operate schoolwide programs, the LEA must check the boxes below to indicate that it has read and agrees to comply with each assurance.  Then, the LEA must indicate which extended learning opportunities are offered in schoolwide program schools.</t>
  </si>
  <si>
    <t>The LEA assures that Title I, Part A funds are targeted only to Title I, Part A eligible students.  Eligible children in targeted assistance schools must include students who are failing or most at risk of failing to meet state standards.  Other eligible children include: students with limited English proficiency; students who have participated in Head Start, Even Start or Early Reading First programs in the last two years; neglected and delinquent students; and homeless students.</t>
  </si>
  <si>
    <t>Please describe  how the LEA will identify, for targeted Title I assistance, eligible children who are failing, or most at risk of failing, to meet the District of Columbia’s challenging student academic achievement standards on the basis of multiple, educationally related, objective criteria established by the LEA.</t>
  </si>
  <si>
    <t>Please indicate how the LEA use Title I, Part A funds to provide additional academic assistance to students in meeting the District of Columbia’s challenging academic content and student academic achievement standards, by checking all of the methods that apply below.  Documentation may be requested to provide evidence of activities.</t>
  </si>
  <si>
    <t>Extended day</t>
  </si>
  <si>
    <t>Classroom pull-out</t>
  </si>
  <si>
    <t>Additional in-class support</t>
  </si>
  <si>
    <t>Summer school</t>
  </si>
  <si>
    <t>Tutoring</t>
  </si>
  <si>
    <t>Additional Assurances Regarding Qualifications of Teachers and Paraprofessionals</t>
  </si>
  <si>
    <t>The LEA assures that Title I paraprofessionals in targeted assistance schools and all instructional paraprofessionals in Title I Schoolwide programs shall possess a high school diploma or GED; and have completed at least two years of study (minimum of 48 semester hours) at an accredited institution of higher education, or obtained an associate's (or higher) degree; or passed the ParaPro assessment with a minimum score of 461.</t>
  </si>
  <si>
    <r>
      <t xml:space="preserve">The LEA will submit an annual report demonstrating its compliance with the requirement to maintain fiscal effort according to Section 9521 of the Elementary and Secondary Education Act.  The final version of this report will be submitted to OSSE by </t>
    </r>
    <r>
      <rPr>
        <b/>
        <u/>
        <sz val="10"/>
        <rFont val="Calibri"/>
        <family val="2"/>
      </rPr>
      <t>no later than the first of February each year</t>
    </r>
    <r>
      <rPr>
        <sz val="10"/>
        <rFont val="Calibri"/>
        <family val="2"/>
      </rPr>
      <t xml:space="preserve"> to compare local expenditures from the preceding fiscal year to local expenditures from the second preceding fiscal year, as described in the U.S. Department of Education's Non-Regulatory Guidance on Title I Fiscal Issues.  For example, by February 1, 2011, the LEA will submit a report comparing DC FY10 and DC FY09.</t>
    </r>
  </si>
  <si>
    <t>For each required or optional set-aside or reservation listed below, the LEA must provide a summary of plans for the use of the set-aside/reservation, as applicable.                                                                                    Under no circumstances may any of the set-asides or reservations listed below be consolidated within schoolwide programs at the school level; all must be tracked and reported separately.</t>
  </si>
  <si>
    <r>
      <rPr>
        <b/>
        <u/>
        <sz val="10"/>
        <rFont val="Calibri"/>
        <family val="2"/>
      </rPr>
      <t>For LEAs receiving over $500,000 of Title I, Part A funds</t>
    </r>
    <r>
      <rPr>
        <sz val="10"/>
        <rFont val="Calibri"/>
        <family val="2"/>
      </rPr>
      <t>: The LEA must use no less than 1% of its Title I, Part A allocation to conduct parental involvement activities under Section 1118 of the ESEA.  Parents of children receiving Title I services must be involved in decisions regarding how these parental involvement funds will be used.  For DCPS, no less than 95 percent of the set-aside funds must be distributed to Title I schools.</t>
    </r>
  </si>
  <si>
    <r>
      <t xml:space="preserve">Below, summarize the planned uses of funds set aside to fulfill this requirement.  Details regarding planned expenditures must be separately provided on the Title I, Part A (Unconsolidated): Expenditure Details worksheet (tab 9).  Any response in this section should refer only to the </t>
    </r>
    <r>
      <rPr>
        <i/>
        <sz val="10"/>
        <rFont val="Calibri"/>
        <family val="2"/>
      </rPr>
      <t>required</t>
    </r>
    <r>
      <rPr>
        <sz val="10"/>
        <rFont val="Calibri"/>
        <family val="2"/>
      </rPr>
      <t xml:space="preserve"> amount the LEA will spend on parental involvement activities; optional/additional expenditures on parental involvement activities are not considered a set-aside and should be summarized on the Title I, Part A (Unconsolidated): Expenditure Summary and/or Consolidated Schoolwide Program: Expenditure Summary worksheets (tabs 5 and 8).</t>
    </r>
  </si>
  <si>
    <t>Amount of Required Parental Involvement Set-Aside (automatically populates):</t>
  </si>
  <si>
    <r>
      <rPr>
        <b/>
        <u/>
        <sz val="10"/>
        <rFont val="Calibri"/>
        <family val="2"/>
      </rPr>
      <t>For DCPS only</t>
    </r>
    <r>
      <rPr>
        <sz val="10"/>
        <rFont val="Calibri"/>
        <family val="2"/>
      </rPr>
      <t>: The LEA must reserve funds to provide equitable services to eligible private school students, their teachers, and families in accordance with Section 1120 of the ESEA.</t>
    </r>
  </si>
  <si>
    <r>
      <rPr>
        <b/>
        <u/>
        <sz val="10"/>
        <rFont val="Calibri"/>
        <family val="2"/>
      </rPr>
      <t>For DCPS only</t>
    </r>
    <r>
      <rPr>
        <sz val="10"/>
        <rFont val="Calibri"/>
        <family val="2"/>
      </rPr>
      <t>: The LEA must reserve a necessary and reasonable amount of funds to provide comparable services to homeless children who do not attend Title I, Part A schools, including providing educationally related support services to children in shelters and other locations where children may live.</t>
    </r>
  </si>
  <si>
    <r>
      <rPr>
        <b/>
        <u/>
        <sz val="10"/>
        <rFont val="Calibri"/>
        <family val="2"/>
      </rPr>
      <t>For DCPS only</t>
    </r>
    <r>
      <rPr>
        <sz val="10"/>
        <rFont val="Calibri"/>
        <family val="2"/>
      </rPr>
      <t>: The LEA must reserve a necessary and reasonable amount of funds to provide comparable services to children in local institutions for neglected children, and, if appropriate, to children in local institutions for delinquent children, and to neglected or delinquent children in community day programs.</t>
    </r>
  </si>
  <si>
    <r>
      <rPr>
        <b/>
        <u/>
        <sz val="10"/>
        <rFont val="Calibri"/>
        <family val="2"/>
      </rPr>
      <t>Optional for all LEAs</t>
    </r>
    <r>
      <rPr>
        <sz val="10"/>
        <rFont val="Calibri"/>
        <family val="2"/>
      </rPr>
      <t>: The LEA may reserve funds “off-the-top” (for district-level activities) for certain permissible activities that are consistent with this application and allowable uses under the Title I, Part A statute and associated regulations.  (For DCPS, if this option is exercised, the LEA must reserve a proportional amount of the total to provide services for private schools.)</t>
    </r>
  </si>
  <si>
    <t xml:space="preserve">Below, summarize the planned uses of funds set aside to fulfill this requirement.  Details regarding planned expenditures must be separately provided on the Title I, Part A (Unconsolidated): Expenditure Details worksheet (tab 9).  </t>
  </si>
  <si>
    <t xml:space="preserve">Below, summarize the planned uses of funds reserved to fulfill this requirement.  Details regarding planned expenditures must be separately provided on the Title I, Part A (Unconsolidated): Expenditure Details worksheet (tab 9).  </t>
  </si>
  <si>
    <t xml:space="preserve">Below, summarize the planned uses of funds set aside for this purpose.  Details regarding planned expenditures must be separately provided on the Title I, Part A (Unconsolidated): Expenditure Details worksheet (tab 9). </t>
  </si>
  <si>
    <t xml:space="preserve">Below, summarize the planned uses of funds reserved for this purpose.  Details regarding planned expenditures must be separately provided on the Title I, Part A (Unconsolidated): Expenditure Details worksheet (tab 9).  </t>
  </si>
  <si>
    <t xml:space="preserve"> Title I Equitable Services Reservation</t>
  </si>
  <si>
    <r>
      <rPr>
        <b/>
        <u/>
        <sz val="10"/>
        <rFont val="Calibri"/>
        <family val="2"/>
      </rPr>
      <t>Optional for all LEAs</t>
    </r>
    <r>
      <rPr>
        <sz val="10"/>
        <rFont val="Calibri"/>
        <family val="2"/>
      </rPr>
      <t>: The LEA may use a necessary and reasonable amount from its Title I, Part A allocation for costs associated with the administration of the grant program.  OSSE will closely scrutinize administrative costs in excess of 10%.</t>
    </r>
  </si>
  <si>
    <t>If no schools in the LEA operate schoolwide programs or if no schoolwide program schools will consolidate Title I funds with funds from any other source/s, skip this section.</t>
  </si>
  <si>
    <t>If schools in the LEA operate schoolwide programs and will consolidate funds, please indicate which of the following programs will be consolidated in a Consolidated Schoolwide Program pool of funds by listing the exact dollar amount to be consolidated from each grant program below.  The maximum amount that may be included in the Consolidated Schoolwide Program pool of funds from Title I, Part A is equal to the difference between the LEA's Title I, Part A allocation and the total of all set-asides and reservations (shown below).  For DCPS, the maximum available for consolidation shown below must be reduced by the amount of funds that will be distributed to Title I Targeted Assistance Schools.</t>
  </si>
  <si>
    <t>For LEAs with one or more schools/campuses that will operate as targeted assistance schools, the LEA must check the boxes below to indicate that it has read and agrees to comply with each assurance.  Then, the LEA must indicate which type/s of additional academic assistance will be provided to eligible students in the targeted assistance school/s.</t>
  </si>
  <si>
    <t>Briefly describe how the school/campus will use effective methods and research-based instructional strategies that strengthen the core academic program of the school/campus and help provide an accelerated, high-quality curriculum to participating Title I, Part A students to enable them to meet the state’s challenging academic achievement standards.</t>
  </si>
  <si>
    <r>
      <rPr>
        <b/>
        <sz val="10"/>
        <rFont val="Calibri"/>
        <family val="2"/>
      </rPr>
      <t>Providing assistance to parents</t>
    </r>
    <r>
      <rPr>
        <sz val="10"/>
        <rFont val="Calibri"/>
        <family val="2"/>
      </rPr>
      <t>: How does the LEA provide information on state standards and assessments and information about the Title I program?</t>
    </r>
  </si>
  <si>
    <r>
      <rPr>
        <b/>
        <sz val="10"/>
        <rFont val="Calibri"/>
        <family val="2"/>
      </rPr>
      <t>Materials and training</t>
    </r>
    <r>
      <rPr>
        <sz val="10"/>
        <rFont val="Calibri"/>
        <family val="2"/>
      </rPr>
      <t xml:space="preserve">: What types of materials and training does the LEA provide to help parents work with their children to improve student achievement? </t>
    </r>
  </si>
  <si>
    <r>
      <rPr>
        <b/>
        <sz val="10"/>
        <rFont val="Calibri"/>
        <family val="2"/>
      </rPr>
      <t>Educating educators</t>
    </r>
    <r>
      <rPr>
        <sz val="10"/>
        <rFont val="Calibri"/>
        <family val="2"/>
      </rPr>
      <t>: How does the LEA ensure that educators understand the importance of communicating and working with parents to build ties with the school?</t>
    </r>
  </si>
  <si>
    <r>
      <rPr>
        <b/>
        <sz val="10"/>
        <rFont val="Calibri"/>
        <family val="2"/>
      </rPr>
      <t>Coordinating with early learning programs</t>
    </r>
    <r>
      <rPr>
        <sz val="10"/>
        <rFont val="Calibri"/>
        <family val="2"/>
      </rPr>
      <t>: How does the LEA coordinate parent involvement programs from early learning programs to encourage parent participation?</t>
    </r>
  </si>
  <si>
    <r>
      <rPr>
        <b/>
        <sz val="10"/>
        <rFont val="Calibri"/>
        <family val="2"/>
      </rPr>
      <t>Understandable communication</t>
    </r>
    <r>
      <rPr>
        <sz val="10"/>
        <rFont val="Calibri"/>
        <family val="2"/>
      </rPr>
      <t>: How does the school ensure that communications to parents about the school, parent programs, meetings, and other activities are sent to parents in a format and language that the parents can understand?</t>
    </r>
  </si>
  <si>
    <r>
      <rPr>
        <b/>
        <sz val="10"/>
        <rFont val="Calibri"/>
        <family val="2"/>
      </rPr>
      <t>Other reasonable support</t>
    </r>
    <r>
      <rPr>
        <sz val="10"/>
        <rFont val="Calibri"/>
        <family val="2"/>
      </rPr>
      <t xml:space="preserve">: How does the school support other reasonable parent requests for involvement? </t>
    </r>
  </si>
  <si>
    <r>
      <t xml:space="preserve">The LEA, if it has not met the Highly Qualified annual measurable objectives for 3 consecutive years and also has failed to make Adequate Yearly Progress (under Section 1111) for that same time period, must also enter into an agreement on the use of Title II Part A funds that incorporate strategies and activities that are based on scientific research.  The LEA must submit the Agreement </t>
    </r>
    <r>
      <rPr>
        <b/>
        <u/>
        <sz val="10"/>
        <rFont val="Calibri"/>
        <family val="2"/>
      </rPr>
      <t>at the time of submission of the Consolidated Application</t>
    </r>
    <r>
      <rPr>
        <sz val="10"/>
        <rFont val="Calibri"/>
        <family val="2"/>
      </rPr>
      <t xml:space="preserve"> to receive approval from OSSE for the plan.</t>
    </r>
  </si>
  <si>
    <t>Home visits</t>
  </si>
  <si>
    <t>NON SETASIDE</t>
  </si>
  <si>
    <t>Miscellaneous</t>
  </si>
  <si>
    <r>
      <t xml:space="preserve">ADMINISTRATIVE COSTS
</t>
    </r>
    <r>
      <rPr>
        <sz val="10"/>
        <rFont val="Calibri"/>
        <family val="2"/>
      </rPr>
      <t xml:space="preserve">The activities concerned with handling the overall administrative responsibilities associated with a grant program.
</t>
    </r>
  </si>
  <si>
    <t>The LEA assures that it has developed a local plan in accordance with Section 3116 of the Elementary and Secondary Education Act.</t>
  </si>
  <si>
    <r>
      <t xml:space="preserve">IMPORTANT NOTE: The examples in this table are provided only as a generic guide of the general scope of potential expenditures and have no relation to determinations of allowability for any particular federal grant program.  Indeed, some entire categories may represent unallowable activities for some grant programs.  Subgrantees should pay close attention to the </t>
    </r>
    <r>
      <rPr>
        <b/>
        <sz val="10"/>
        <rFont val="Calibri"/>
        <family val="2"/>
      </rPr>
      <t>definitions</t>
    </r>
    <r>
      <rPr>
        <sz val="10"/>
        <rFont val="Calibri"/>
        <family val="2"/>
      </rPr>
      <t xml:space="preserve"> provided in column B in order to determine the appropriate categorization of expenditures.</t>
    </r>
  </si>
  <si>
    <r>
      <t xml:space="preserve">INSTRUCTION
</t>
    </r>
    <r>
      <rPr>
        <sz val="10"/>
        <rFont val="Calibri"/>
        <family val="2"/>
      </rPr>
      <t>The direct instructional interaction between teachers and students. This instruction may be provided to students in a school classroom, in an alternate location (i.e.: home or hospital), or in other learning situations, including those involving co-curricular activities. The activities of teacher aides or classroom assistants of any type (i.e.: clerks, graders, teaching machines) who assist in the instructional process are also in this category.</t>
    </r>
  </si>
  <si>
    <t>General Supplies, Energy, Books, Library Books, Periodicals, Testing Materials</t>
  </si>
  <si>
    <t xml:space="preserve">Below, summarize the planned uses of funds for these activities.  Details regarding planned expenditures must be separately provided on the Consolidated Schoolwide Program: Expenditure Details worksheet (tab 6).  </t>
  </si>
  <si>
    <t xml:space="preserve">Below, summarize the planned uses of funds for these activities.  Details regarding planned expenditures must be separately provided on the Title I, Part A (Unconsolidated): Expenditure Details worksheet (tab 9).  </t>
  </si>
  <si>
    <t xml:space="preserve">Below, summarize the planned uses of funds for these activities.  Details regarding planned expenditures must be separately provided on the Title II, Part A (Unconsolidated): Expenditure Details worksheet (tab 13).  </t>
  </si>
  <si>
    <t xml:space="preserve">Below, summarize the planned uses of funds for these activities.  Details regarding planned expenditures must be separately provided on the Title III, Part A (Unconsolidated): Expenditure Details worksheet (tab 17).  </t>
  </si>
  <si>
    <t>All allowable uses of Title II, Part A funds are outlined in Section 2123 of the Elementary and Secondary Education Act.  Below, provide summary information regarding the LEA's planned uses of funds.  All categories are of optional, authorized activities.  Therefore, the LEA need not complete all sections, depending on its planned uses of funds.  Costs for administering the grant may fall in any (one of more) of the categories; OSSE will closely scrutinize plans to spend more than 5% of funds for administration (which OSSE will review on the budget worksheet).</t>
  </si>
  <si>
    <t>Below, for each of the six (6) budget categories, the LEA must provide a full list of all planned expenditures from this source of funds.                                                                                                                                                                       The total of all expenditures in this section must match the amount available from this source of funds according to Worksheet (tab) 1, minus any Title III, Part A funds that are consolidated.</t>
  </si>
  <si>
    <t>Below, for each of the six (6) budget categories, the LEA must provide a full list of all planned expenditures from the Consolidated Schoolwide Program pool of funds.                                                                                                                                                                       The total of all expenditures in this section must match the total amount being consolidated from all sources of funds (as shown on worksheet (tab) 3).</t>
  </si>
  <si>
    <t>For each of the assurances listed below, check the gray box to indicate that the Local Educational Agency has read and agrees to comply with the assurance.  If the LEA is applying for Title III, Part A funds, this section is required, unless all funds from Title III, Part A are consolidated in a Consolidated Schoolwide Program pool of funds.</t>
  </si>
  <si>
    <t>Detailed Planned Expenditures from Consolidated Schoolwide Program Funds</t>
  </si>
  <si>
    <t>Validation of Application's Readiness for Submission</t>
  </si>
  <si>
    <r>
      <rPr>
        <b/>
        <u/>
        <sz val="16"/>
        <color indexed="9"/>
        <rFont val="Calibri"/>
        <family val="2"/>
      </rPr>
      <t>Part 1</t>
    </r>
    <r>
      <rPr>
        <b/>
        <sz val="16"/>
        <color indexed="9"/>
        <rFont val="Calibri"/>
        <family val="2"/>
      </rPr>
      <t>: Validation Summary</t>
    </r>
  </si>
  <si>
    <r>
      <rPr>
        <b/>
        <u/>
        <sz val="16"/>
        <color indexed="9"/>
        <rFont val="Calibri"/>
        <family val="2"/>
      </rPr>
      <t>Part 2</t>
    </r>
    <r>
      <rPr>
        <b/>
        <sz val="16"/>
        <color indexed="9"/>
        <rFont val="Calibri"/>
        <family val="2"/>
      </rPr>
      <t>: Item-by-Item Validation</t>
    </r>
  </si>
  <si>
    <t>Required Component</t>
  </si>
  <si>
    <t>Validated?</t>
  </si>
  <si>
    <t>Steps Required for the Application to be Validated</t>
  </si>
  <si>
    <t>Applicant Information and Certification (Worksheet/Tab 1)</t>
  </si>
  <si>
    <t>Legal name of LEA provided</t>
  </si>
  <si>
    <t>Mailing address of LEA provided</t>
  </si>
  <si>
    <t>Main telephone number of LEA provided</t>
  </si>
  <si>
    <t>Name of primary contact provided</t>
  </si>
  <si>
    <t>Title of primary contact provided</t>
  </si>
  <si>
    <t>Email address of primary contact provided</t>
  </si>
  <si>
    <t>Telephone number of primary contact provided</t>
  </si>
  <si>
    <t>Schedule for reimbursement is provided</t>
  </si>
  <si>
    <t>Consolidation of Funds in Schoolwide Program Pool (Worksheet/Tab 3)</t>
  </si>
  <si>
    <t>Title I, Part A Planning (Worksheet/Tab 4)</t>
  </si>
  <si>
    <t>Will any of the LEA's schoolwide program schools consolidate funds? (select "Yes" or "No")</t>
  </si>
  <si>
    <t>Name of Local Educational Agency</t>
  </si>
  <si>
    <t>Academy for Learning Through the Arts (ALTA) Public Charter School</t>
  </si>
  <si>
    <t>Achievement Preparatory Academy Public Charter School</t>
  </si>
  <si>
    <t>AppleTree Early Learning Public Charter School</t>
  </si>
  <si>
    <t>Arts and Technology Public Charter School</t>
  </si>
  <si>
    <t>Booker T. Washington Public Charter School</t>
  </si>
  <si>
    <t>Bridges Public Charter School</t>
  </si>
  <si>
    <t>Capital City Public Charter School</t>
  </si>
  <si>
    <t>Carlos Rosario Public Charter School</t>
  </si>
  <si>
    <t>Center City Public Charter School</t>
  </si>
  <si>
    <t>Cesar Chavez Public Charter School</t>
  </si>
  <si>
    <t>Children's Studio Public Charter School</t>
  </si>
  <si>
    <t>City Collegiate Public Charter School</t>
  </si>
  <si>
    <t>Community Academy Public Charter School</t>
  </si>
  <si>
    <t>DC Bilingual Public Charter School</t>
  </si>
  <si>
    <t>DC Preparatory Public Charter School</t>
  </si>
  <si>
    <t>District of Columbia Public Schools (DCPS)</t>
  </si>
  <si>
    <t>E.L. Haynes Public Charter School</t>
  </si>
  <si>
    <t>Eagle Academy Public Charter School</t>
  </si>
  <si>
    <t>Early Childhood Academy Public Charter School</t>
  </si>
  <si>
    <t>Education Strengthens Families (ESF) Public Charter School</t>
  </si>
  <si>
    <t>Elsie Whitlow Stokes Public Charter School</t>
  </si>
  <si>
    <t>Excel Academy Public Charter School</t>
  </si>
  <si>
    <t>Friendship Public Charter School</t>
  </si>
  <si>
    <t>Hope Community Public Charter School</t>
  </si>
  <si>
    <t>Hospitality Public Charter School</t>
  </si>
  <si>
    <t>Howard Road Academy Public Charter School</t>
  </si>
  <si>
    <t>Howard University Middle School for Math &amp; Science Public Charter School</t>
  </si>
  <si>
    <t>Hyde Leadership Academy Public Charter School</t>
  </si>
  <si>
    <t>Ideal Academy Public Charter School</t>
  </si>
  <si>
    <t>Imagine Southeast Public Charter School</t>
  </si>
  <si>
    <t>Integrated Design &amp; Electronics Academy (IDEA) Public Charter School</t>
  </si>
  <si>
    <t>Kamit Institute for Magnificent  Achievers Public Charter School</t>
  </si>
  <si>
    <t>KIPP DC Public Charter School</t>
  </si>
  <si>
    <t>Latin American Montesori Bilingual (LAMB) Public Charter School</t>
  </si>
  <si>
    <t>LAYC YouthBuild Public Charter School</t>
  </si>
  <si>
    <t>Mary McLeod Bethune Public Charter School</t>
  </si>
  <si>
    <t>Maya Angelou Public Charter School</t>
  </si>
  <si>
    <t>Meridian Public Charter School</t>
  </si>
  <si>
    <t>National Collegiate Preparatory Public Charter School</t>
  </si>
  <si>
    <t>Next Step Public Charter School</t>
  </si>
  <si>
    <t>Nia Community Public Charter School</t>
  </si>
  <si>
    <t>Options Public Charter School</t>
  </si>
  <si>
    <t>Paul Public Charter School</t>
  </si>
  <si>
    <t>Potomac Lighthouse Public Charter School</t>
  </si>
  <si>
    <t>Roots Public Charter School</t>
  </si>
  <si>
    <t>School for Arts in Learning (SAIL) Public Charter School</t>
  </si>
  <si>
    <t>SEED Public Charter School</t>
  </si>
  <si>
    <t>Septima Clark Public Charter School</t>
  </si>
  <si>
    <t>St. Coletta Public Charter School</t>
  </si>
  <si>
    <t>Thea Bowman Public Charter School</t>
  </si>
  <si>
    <t>Thurgood Marshall Academy Public Charter School</t>
  </si>
  <si>
    <t>Tree of Life Public Charter School</t>
  </si>
  <si>
    <t>Two Rivers Public Charter School</t>
  </si>
  <si>
    <t>Washington Latin Public Charter School</t>
  </si>
  <si>
    <t>Washington Math Science &amp; Technology Public Charter School</t>
  </si>
  <si>
    <t>Washington Yu Ying Public Charter School</t>
  </si>
  <si>
    <t>William E. Doar Jr. Public Charter School</t>
  </si>
  <si>
    <t>Young America Works Public Charter School</t>
  </si>
  <si>
    <t>Summary of Planned Expenditures from Consolidated Schoolwide Program Funds (Worksheet/Tab 5)</t>
  </si>
  <si>
    <t>Detailed Expenditures from Consolidated Schoolwide Program Funds (Worksheet/Tab 6)</t>
  </si>
  <si>
    <t>Budget for Consolidated Schoolwide Program Funds (Worksheet/Tab 7)</t>
  </si>
  <si>
    <t>Summary of Planned Expenditures from Title I, Part A (Unconsolidated) Funds (Worksheet/Tab 8)</t>
  </si>
  <si>
    <t>Detailed Expenditures from Title I, Part A (Unconsolidated) Funds (Worksheet/Tab 9)</t>
  </si>
  <si>
    <t>Budget for Title I, Part A (Unconsolidated) Funds (Worksheet/Tab 10)</t>
  </si>
  <si>
    <t>Summary of Planned Expenditures from Title II, Part A (Unconsolidated) Funds (Worksheet/Tab 12)</t>
  </si>
  <si>
    <t>Detailed Expenditures from Title II, Part A (Unconsolidated) Funds (Worksheet/Tab 13)</t>
  </si>
  <si>
    <t>Budget for Title II, Part A (Unconsolidated) Funds (Worksheet/Tab 14)</t>
  </si>
  <si>
    <t>Summary of Planned Expenditures from Title III, Part A (Unconsolidated) Funds (Worksheet/Tab 16)</t>
  </si>
  <si>
    <t>Detailed Expenditures from Title III, Part A (Unconsolidated) Funds (Worksheet/Tab 17)</t>
  </si>
  <si>
    <t>Budget for Title III, Part A (Unconsolidated) Funds (Worksheet/Tab 18)</t>
  </si>
  <si>
    <t>Title III, Part A Planning (Worksheet/Tab 15)</t>
  </si>
  <si>
    <t>Title II, Part A Planning (Worksheet/Tab 11)</t>
  </si>
  <si>
    <t>Equitable Services Assurances</t>
  </si>
  <si>
    <t>Explanation of Equitable Services Calculations</t>
  </si>
  <si>
    <t>Amounts Reserved for Equitable Services</t>
  </si>
  <si>
    <t>Maintenance of Effort Assurances</t>
  </si>
  <si>
    <t>Title I Comparability Assurances</t>
  </si>
  <si>
    <t>Title II, Part A (Unconsolidated) Budget Alignment</t>
  </si>
  <si>
    <t>Title III, Part A (Unconsolidated) Budget Alignment</t>
  </si>
  <si>
    <t>Title I, Part A (Unconsolidated) Budget Alignment</t>
  </si>
  <si>
    <t>Consolidated Schoolwide Program Budget Alignment</t>
  </si>
  <si>
    <t>Administrative Cap</t>
  </si>
  <si>
    <r>
      <t xml:space="preserve">Category 5: Equipment, </t>
    </r>
    <r>
      <rPr>
        <b/>
        <i/>
        <sz val="11"/>
        <rFont val="Calibri"/>
        <family val="2"/>
      </rPr>
      <t>defined as</t>
    </r>
    <r>
      <rPr>
        <b/>
        <sz val="11"/>
        <rFont val="Calibri"/>
        <family val="2"/>
      </rPr>
      <t xml:space="preserve">                                                                                                                                                                                                                                                                                                                                                               "tangible personal property having a useful life of more than one year, not considered a supply, with an acquisition cost of $5,000 or more per unit"</t>
    </r>
  </si>
  <si>
    <t>Explain in detail which strategies, initiatives, and activities summarized on Tab 8 are addressed by specific costs within this budget category.</t>
  </si>
  <si>
    <t>Explain in detail which strategies, initiatives, and activities summarized on Tab 12 are addressed by specific costs within this budget category.</t>
  </si>
  <si>
    <t>Explain in detail which strategies, initiatives, and activities summarized on Tab 16 are addressed by specific costs within this budget category.</t>
  </si>
  <si>
    <t>Explain in detail which strategies, initiatives, and activities summarized on Tab 5 are addressed by specific costs within this budget category.</t>
  </si>
  <si>
    <t>Indication of Consolidation of Funds</t>
  </si>
  <si>
    <t>Title I Amount to be Consolidated</t>
  </si>
  <si>
    <t>Title II Amount to be Consolidated</t>
  </si>
  <si>
    <t>Title III Amount to be Consolidated</t>
  </si>
  <si>
    <t>Required Strategy #1</t>
  </si>
  <si>
    <t>Required Strategy #2</t>
  </si>
  <si>
    <t>Summaries for Additional Strategies</t>
  </si>
  <si>
    <t>Total of all Strategies</t>
  </si>
  <si>
    <t>Additional Assurances Applicable to District of Columbia Public Schools (DCPS) Only (Worksheet/Tab 19)</t>
  </si>
  <si>
    <t>Summaries for Strategies</t>
  </si>
  <si>
    <t xml:space="preserve">Title II Assurances </t>
  </si>
  <si>
    <t>Title III Assurances</t>
  </si>
  <si>
    <t>Title III Planning Requirements</t>
  </si>
  <si>
    <t>Needs Assessment</t>
  </si>
  <si>
    <t>SWP/TAS Program Design</t>
  </si>
  <si>
    <t>Schoolwide Program/s</t>
  </si>
  <si>
    <t>Targeted Assistance School/s</t>
  </si>
  <si>
    <t>Parental Involvement</t>
  </si>
  <si>
    <t>Highly Qualified Requirements</t>
  </si>
  <si>
    <r>
      <t xml:space="preserve">Submit BOTH the completed Excel workbook AND a signed, scanned copy of </t>
    </r>
    <r>
      <rPr>
        <b/>
        <u/>
        <sz val="12"/>
        <color indexed="10"/>
        <rFont val="Calibri"/>
        <family val="2"/>
      </rPr>
      <t>ONLY TAB 1</t>
    </r>
    <r>
      <rPr>
        <b/>
        <sz val="12"/>
        <color indexed="10"/>
        <rFont val="Calibri"/>
        <family val="2"/>
      </rPr>
      <t xml:space="preserve"> to                                                                                    </t>
    </r>
    <r>
      <rPr>
        <b/>
        <i/>
        <u/>
        <sz val="12"/>
        <color indexed="10"/>
        <rFont val="Calibri"/>
        <family val="2"/>
      </rPr>
      <t>CON.APP@DC.GOV</t>
    </r>
    <r>
      <rPr>
        <b/>
        <sz val="12"/>
        <color indexed="10"/>
        <rFont val="Calibri"/>
        <family val="2"/>
      </rPr>
      <t xml:space="preserve"> within the established Phase II timeline.                                                                                                </t>
    </r>
    <r>
      <rPr>
        <b/>
        <i/>
        <sz val="12"/>
        <rFont val="Calibri"/>
        <family val="2"/>
      </rPr>
      <t>OSSE Approval of Phase II is required before reimbursement requests may be submitted.</t>
    </r>
  </si>
  <si>
    <r>
      <t xml:space="preserve">Below, using formulas embedded in this workbook, an attempt is made to "validate" your application's readiness for submission to the OSSE.                                                                                                                                                                                   If any areas are highlighted red, you must make edits in order to prepare the application for submission.  </t>
    </r>
    <r>
      <rPr>
        <b/>
        <i/>
        <u/>
        <sz val="11"/>
        <rFont val="Calibri"/>
        <family val="2"/>
      </rPr>
      <t>OSSE will not accept an application which fails this validation</t>
    </r>
    <r>
      <rPr>
        <b/>
        <i/>
        <sz val="11"/>
        <rFont val="Calibri"/>
        <family val="2"/>
      </rPr>
      <t>.</t>
    </r>
    <r>
      <rPr>
        <b/>
        <sz val="11"/>
        <rFont val="Calibri"/>
        <family val="2"/>
      </rPr>
      <t xml:space="preserve">                                        Successful validation does NOT imply that the application meets all requirements for approval or that the application will be approved.</t>
    </r>
  </si>
  <si>
    <t>Note: Do not include information about Title I required and/or optional set-asides on this worksheet.  Instead, include those summaries on Tab 2.</t>
  </si>
  <si>
    <r>
      <t xml:space="preserve">Below, for each of the six (6) budget categories, the LEA must provide a full list of all planned expenditures from this source of funds.                                                                                                                                                                       The total of all expenditures in this section must match the amount available from this source of funds according to Worksheet (tab) 1, minus any funds that are consolidated.                                                                                                 </t>
    </r>
    <r>
      <rPr>
        <b/>
        <sz val="10"/>
        <rFont val="Calibri"/>
        <family val="2"/>
      </rPr>
      <t>NOTE: INCLUDE DETAILS FOR ALL EXPENDITURES FOR INITIATIVES SUMMARIZED ON BOTH TAB 2 AND TAB 8 ON THIS WORKSHEET.</t>
    </r>
  </si>
  <si>
    <t>Below,  for all unconsolidated, non set-aside Title I, Part A funds (recall, set-aside summaries are provided instead on Tab 2), the LEA must provide summaries of planned uses of funds in categories according to the initiatives/activities the LEA will pay for at least partially with unconsolidated Title I, Part A funds.  For example, if all unconsolidated Title I, Part A funds will be used for salaries for school improvement coaches and costs associated with a tutoring program for the most at-risk students, the LEA should summarize these two initiatives in two sections of this worksheet.  ALL PLANNED EXPENDITURES IN SCHOOLWIDE PROGRAMS MUST ALIGN WITH THE LEA-APPROVED SCHOOLWIDE PLAN/S.  Activities in any Targeted Assistance Schools may be summarized as one separate initiative.</t>
  </si>
  <si>
    <t>Name of Individual Certifying Phase II Application (Board Chairperson or Chancellor only)</t>
  </si>
  <si>
    <t>Title of Individual Certifying Phase II Application (Board Chairperson or Chancellor only)</t>
  </si>
  <si>
    <t>Signature of Individual Certifying Phase II Application</t>
  </si>
  <si>
    <t>Below, for each of the six (6) budget categories, the LEA must provide a full list of all planned expenditures from this source of funds.                                                                                                                                                                       The total of all expenditures in this section must match the amount available from this source of funds according to Worksheet (tab) 1, minus any Title II, Part A funds that are consolidated.</t>
  </si>
  <si>
    <t>Estimated Percentage of Consolidated SWP Funds Dedicated to These Activities:</t>
  </si>
  <si>
    <t>Inspired Teaching Demonstration Public Charter School</t>
  </si>
  <si>
    <t>Mundo Verde Bilingual Public Charter School</t>
  </si>
  <si>
    <t>Richard Wright Public Charter School</t>
  </si>
  <si>
    <t>Shining Stars Montessori Public Charter School</t>
  </si>
  <si>
    <t>Federal Fiscal Year 2012</t>
  </si>
  <si>
    <t>Please indicate, by checking the applicable box below, the schedule that the LEA will follow for Federal Fiscal Year 2012 (July 1, 2012 - September 30, 2014, including the "Tydings" period) for submitting reimbursement requests for all grants included in this application in order to maintain regular drawdowns of federal funds. From among these options, the LEA has the flexibility to choose a schedule that best meets its needs.</t>
  </si>
  <si>
    <t xml:space="preserve">The priority school must develop a plan to implement one or more of the following intervention strategies:
• Evaluate, in-depth, the performance of the current leadership;
• Implement changes in leadership, where appropriate;
• Focus on instructional leadership including the collection of data and feedback mechanisms for continually improving instruction; 
• Partner with a Reward school or obtain a leadership mentor to analyze existing leadership models and develop a revised leadership plan; 
• Provide flexibility in the areas of scheduling, budget, staffing, and curriculum; or
• Other promising strategies that meet this turnaround principle and are sufficient to achieve change and demonstrate progress. </t>
  </si>
  <si>
    <t>School Leadership Intervention Strategy</t>
  </si>
  <si>
    <t>Amount of Required Set-Aside (automatically populates):</t>
  </si>
  <si>
    <t>Amount Set-Aside for School Leadership Intervention:</t>
  </si>
  <si>
    <t>Effective Staffing Practices and Instruction Intervention Strategy</t>
  </si>
  <si>
    <t>Amount Set-Aside for Effective Staffing Practices and Instruction Intervention:</t>
  </si>
  <si>
    <t>Amount Set-Aside for Effective Use of Time Intervention:</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</si>
  <si>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activities to ensure the effectiveness of staffing practices and instruction; optional/additional expenditures for these activities are not considered a set-aside and should be summarized on the Title I, Part A (Unconsolidated): Expenditure Summary and/or Consolidated Schoolwide Program: Expenditure Summary worksheets (tabs 5 and 8).</t>
  </si>
  <si>
    <t>Effective Use of Time Intervention Strategy</t>
  </si>
  <si>
    <t>Curriculum, Assessment, and Intervention System Strategy</t>
  </si>
  <si>
    <t xml:space="preserve">The priority school must implement one or more of the following intervention strategies:
• Implement the CCSS and aligned model curriculum and unit assessments; 
• Implement research-based interventions for all students two or more grade levels behind in ELA or mathematics; or
• Other promising strategies that meet this turnaround principle and are sufficient to achieve change and demonstrate progress. 
</t>
  </si>
  <si>
    <t>Amount Set-Aside for Curriculum, Assessment, and Intervention System Strategy:</t>
  </si>
  <si>
    <t>Effective Use of Data Intervention Strategy</t>
  </si>
  <si>
    <t xml:space="preserve">The priority school must implement  one or more of the following intervention strategies:
• Use data to inform instruction including, where appropriate, the placement of  a full-time data specialist in the school focused on implementing a system for teachers to develop and use common assessment data funded by school-level Title I funds;
• Provide time for collaboration on the use of data to inform instruction; 
• Use formative assessment design and data analysis to improve and differentiate instruction; 
• Build the principal’s capacity to collect and analyze data for improving instruction and the skills necessary to develop a schedule and system for increasing teacher ownership of data analysis for improving instruction; 
• Develop or expand data collection systems to allow for customized, real-time data analysis; or 
• Other promising strategies that meet this turnaround principle and are sufficient to achieve change and demonstrate progress. 
</t>
  </si>
  <si>
    <t>Amount Set-Aside for Effective Use of Data Intervention Strategy:</t>
  </si>
  <si>
    <t>School Climate and Culture Intervention Strategy</t>
  </si>
  <si>
    <t xml:space="preserve">The priority school must implement one or more of the following intervention strategies:
• Place, where appropriate, a climate and culture specialist in the school funded with school-level Title I funds to work with the leadership, staff, and families to develop or adopt a plan for creating a climate conducive to learning and a culture of high expectations;
• Address other non-academic factors that impact student achievement, such as students’ social, emotional, and health needs by way of additional counseling, access to additional ancillary services, or other supports;
• Build capacity for all staff and leadership to implement a comprehensive plan for creating a climate conducive to learning and a culture of high expectations; 
• Use relevant data and to inform appropriate actions for continually improving the climate and culture of the school; or 
• Other promising strategies that meet this turnaround principle and are sufficient to achieve change and demonstrate progress. 
</t>
  </si>
  <si>
    <t>Effective Family and Community Engagement Intervention Strategy</t>
  </si>
  <si>
    <t xml:space="preserve">The priority school must implement one or more of the following intervention strategies:
• Develop or expand functions  of  family and community engagement staff to focus engagement on academics;
• Build capacity for family and community engagement staff designed to increase their skill level in developing academically focused engagement opportunities for families and the community;
• Build capacity around development and implementation of effective, academically-focused family and community engagement, particularly for students with disabilities and ELLs and their families; or 
• Other promising strategies that meet this turnaround principle and are sufficient to achieve change and demonstrate progress. 
</t>
  </si>
  <si>
    <t>Amount Set-Aside for School Climate and Culture Intervention Strategy:</t>
  </si>
  <si>
    <t>Amount Set-Aside for Effective Family and Community Engagement Intervention Strategy:</t>
  </si>
  <si>
    <t xml:space="preserve">Focus schools that are identified as not meeting the needs of students with disabilities must include one or more of the following targeted intervention strategies:
• Align the curriculum to the CCSS;
• Increase collaboration among teachers;
• Improve use of data for differentiating instruction;
• Build capacity for all teachers, particularly for special education teachers to better understand the rigor of the CCSS; or 
• Other promising strategies that differentiate interventions and are sufficient to achieve change and demonstrate progress. 
 </t>
  </si>
  <si>
    <t>Intervention Strategies for Schools Not Meeting the Needs of Students with Disabilities</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</si>
  <si>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meeting the needs of students with disabilities; optional/additional expenditures that are not considered a set-aside and should be summarized on the Title I, Part A (Unconsolidated): Expenditure Summary and/or Consolidated Schoolwide Program: Expenditure Summary worksheets (tabs 5 and 8).</t>
  </si>
  <si>
    <t>Intervention Strategies for Schools Not Meeting the Needs of English Language Learners</t>
  </si>
  <si>
    <t>Intervention Strategies for Schools Not Meeting the Needs of Other Subgroups</t>
  </si>
  <si>
    <t xml:space="preserve">Focus schools identified as not meeting the needs of ELLs must include one or more of the following targeted intervention strategies that:
• Include research-based strategies for teaching academic English;
• Improve the use of native language support;
• Scaffold learning to meet the rigorous requirements of the CCSS;
• Build capacity for all teachers to learn strategies for meeting the content learning needs of ELLs and to better understand the rigorous requirements of the CCSS; or 
• Other promising strategies that differentiate interventions and are sufficient to achieve change and demonstrate progress. 
</t>
  </si>
  <si>
    <t>Is the LEA Identified as an Intervention School? (select "Yes" or "No")</t>
  </si>
  <si>
    <t>Differentiated Interventions and Supports for Other Title I Schools</t>
  </si>
  <si>
    <t>Amount Set-Aside for Schools not meeting AMOs for two consecutive years:</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</si>
  <si>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meeting the needs of students who have not met AMOs; optional/additional expenditures that are not considered a set-aside and should be summarized on the Title I, Part A (Unconsolidated): Expenditure Summary and/or Consolidated Schoolwide Program: Expenditure Summary worksheets (tabs 5 and 8).</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</si>
  <si>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school leadership evaluation activities; optional/additional expenditures that are not considered a set-aside and should be summarized on the Title I, Part A (Unconsolidated): Expenditure Summary and/or Consolidated Schoolwide Program: Expenditure Summary worksheets.</t>
  </si>
  <si>
    <t>The priority school must  implement one or more of the following intervention strategies:
• Review and retain effective staff that have the ability to be effective in a turnaround effort;
• Develop a recruitment plan that screens out ineffective teachers from transferring into these schools;
• Ensure that all administrators in the school have the skills to effectively evaluate instruction and give quality feedback to teachers;
• Develop an overall recruitment and retention plan for the principal and leadership team; 
• Provide additional instruction time for all teachers focused on effective instruction; 
• Partner with outside master educators to conduct observations as part of a comprehensive evaluation process that supports reliable observations; or 
• Other promising strategies that meet this turnaround principle and are sufficient to achieve change and demonstrate progress.</t>
  </si>
  <si>
    <t>2a</t>
  </si>
  <si>
    <t>2b</t>
  </si>
  <si>
    <t>Amount Set-Aside for Disabled Subgroup:</t>
  </si>
  <si>
    <t>Amount Set-Aside for ELL Subgroup:</t>
  </si>
  <si>
    <t>Amount Set-Aside for Other Subgroups:</t>
  </si>
  <si>
    <r>
      <t xml:space="preserve">Schools identified by the DC OSSE as focus schools will be required to plan for selected models and interventions, and begin implementation of interventions and supports no later than 60 days after the start of the school year.                                                                                                                                                                                                                                                                                                                                                                                                                                                                                                                                                                                                                                                                                   
</t>
    </r>
    <r>
      <rPr>
        <b/>
        <i/>
        <sz val="10"/>
        <rFont val="Calibri"/>
        <family val="2"/>
      </rPr>
      <t>Differentiated Interventions for Subgroups:</t>
    </r>
    <r>
      <rPr>
        <sz val="10"/>
        <rFont val="Calibri"/>
        <family val="2"/>
      </rPr>
      <t xml:space="preserve">
Focus schools that are identified as not meeting the needs of students based on subgroup performance will be required to implement intervention strategies similar to those research-based differentiated interventions as Priority Schools, but which are explicitly focused on the subgroups that placed the school in focus status. </t>
    </r>
  </si>
  <si>
    <t>All schools that fail to meet the same AMO for two consecutive years and that are not already identified as priority or focus schools will be identified as schools requiring additional support. These schools will be required to identify and respond to the needs of their students. If a non-priority and non-focus school misses its performance on the same AMO for two consecutive years, the LEA will be required to expand their current Title I plan to describe the interventions and supports that address all students and/or subgroup(s) that missed the school AMOs. Additionally, as part of its Title I plan and Title I grant application, LEAs with schools that do not meet the same AMOs for two consecutive years must describe how the LEA will identify needs based on the school AMOs that were missed, select priority objectives and interventions aligned to those needs, plan action steps to address deficiencies related to those objectives, implement those action steps, and evaluate progress. 
                                                                                                                                                                                                                                                                                                                                                                                    The LEA will be required to use Title I funds to implement interventions and supports necessary to improve student achievement on the school AMOs that were missed. Interventions and supports to address deficiencies in school-based practices may include one or more of the following options:
• Training to improve the quality of school leadership;
• High-quality curriculum aligned to the CCSS; 
• Expansion of learning time before, during and after school to supplement instruction to school-selected students provided by external providers, schools, or LEAs;
• Assistance in the analysis and use of data; 
• Supplemental research-based and job-embedded professional development; or 
• Any other activity that is specifically required by an action step included in the Title I plan of Title I grant application in support of an objective.</t>
  </si>
  <si>
    <t>Intervention Strategies for Identified Schools</t>
  </si>
  <si>
    <t xml:space="preserve">Priority schools will be required to implement all seven turnaround principles using intervention strategies that are sufficient to achieve change and demonstrate progress.  Please provide a brief narrative description of the strategy or strategies within each principle that you will implement. Then detail the amount of funds that will be spent toward each strategy and how funds will be used. You may choose how you allocate Title I funding among the strategies, but you must implement strategies within all seven principles.
</t>
  </si>
  <si>
    <t xml:space="preserve">The priority school must implement one or more of the following intervention strategies:
• Increase instructional time for students who need more time to meet the rigorous goals of the CCSS;
• Provide additional time focused on learning strategies for effectively working with students with disabilities or ELLs;
• Provide additional time focused on teachers developing and using common assessment data to inform and differentiate instruction;
• Focus on effective use of instructional time, including effective transitions and teacher collaborations; or 
• Other promising strategies that meet this turnaround principle and are sufficient to achieve change and demonstrate progress. 
                                                                                                                                                                                                                                                                                                                                                                                   While the form of these interventions may include extended learning time during the school day, it may also include extended learning opportunities in the form of either before-school or after-school programs consistent with the CCSS. 
</t>
  </si>
  <si>
    <t xml:space="preserve">To address the needs of other subgroups of students, the LEA must include one or more of the following intervention strategies:
• Build capacity for school leaders focused on instructional leadership including the collection of data and feedback mechanisms for continually improving instruction;
• Provide time for collaboration on the use of data to inform instruction; 
• Use formative assessment design and data analysis to improve and differentiate instruction; 
• Address other non-academic factors that impact student achievement, such as students’ social, emotional, and health needs by way of additional counseling, access to additional ancillary services, or other supports;
• Build capacity for all staff on the effective support of students with disabilities and ELLs and their families; 
• Build capacity for all staff on the development and implementation of effective, academically-focused family and community engagement; 
• Extend learning time before, during, and after school that is aligned to CCSS; or 
• Other promising strategies that address the areas of deficiency that placed the school in focus status and are sufficient to achieve change and demonstrate progress. 
</t>
  </si>
  <si>
    <t>Below, summarize the planned uses of funds set aside to fulfill this requirement.  Details regarding planned expenditures must be separately provided on the Title I, Part A (Unconsolidated): Expenditure Details worksheet (tab 9).  Any response in this section should refer only to the amount the LEA will spend on meeting the needs of English Language Learners; optional/additional expenditures for these activities are not considered a set-aside and should be summarized on the Title I, Part A (Unconsolidated): Expenditure Summary and/or Consolidated Schoolwide Program: Expenditure Summary worksheets (tabs 5 and 8).</t>
  </si>
  <si>
    <r>
      <rPr>
        <b/>
        <u/>
        <sz val="10"/>
        <rFont val="Calibri"/>
        <family val="2"/>
      </rPr>
      <t>Optional for all LEAs</t>
    </r>
    <r>
      <rPr>
        <sz val="10"/>
        <rFont val="Calibri"/>
        <family val="2"/>
      </rPr>
      <t>: The LEA may use up to 5% of its Title I, Part A allocation to provide financial incentives and rewards to teachers who serve students in Title I schools identified as priority, focus, and/or struggling to meet AMOs for the purpose of attracting and retaining qualified and effective teachers.</t>
    </r>
  </si>
  <si>
    <t>Needs Assessment(s) and Planning for Title I, Part A</t>
  </si>
  <si>
    <t xml:space="preserve">Follow the directions below to describe needs assessment(s) conducted by the LEA in planning for the use of Title I, Part A funds.                                                                                                                                                                        Then, follow the subsequent instructions related to Title I, Part A program design, parental involvement, and requirements for highly qualified teachers and paraprofessionals.                                                                                                            If the LEA is applying for Title I, Part A funds, this section is required.    </t>
  </si>
  <si>
    <t>Program Design: Schoolwide Program(s)</t>
  </si>
  <si>
    <t>Program Design: Targeted Assistance School(s)</t>
  </si>
  <si>
    <r>
      <t xml:space="preserve">The LEA, if it has failed to make progress toward meeting the Highly Qualified annual measurable objectives for 2 consecutive years, will submit, </t>
    </r>
    <r>
      <rPr>
        <b/>
        <u/>
        <sz val="10"/>
        <rFont val="Calibri"/>
        <family val="2"/>
      </rPr>
      <t>at the time of submission of the Consolidated Application</t>
    </r>
    <r>
      <rPr>
        <sz val="10"/>
        <rFont val="Calibri"/>
        <family val="2"/>
      </rPr>
      <t>,</t>
    </r>
    <r>
      <rPr>
        <b/>
        <sz val="10"/>
        <rFont val="Calibri"/>
        <family val="2"/>
      </rPr>
      <t xml:space="preserve"> </t>
    </r>
    <r>
      <rPr>
        <sz val="10"/>
        <rFont val="Calibri"/>
        <family val="2"/>
      </rPr>
      <t xml:space="preserve">the LEA HQ Improvement Plan for the attainment of 100% highly-qualified status.  </t>
    </r>
  </si>
  <si>
    <t>Needs Assessment(s) and Planning for Title II, Part A</t>
  </si>
  <si>
    <t>Follow the directions below to describe assessment(s) of needs conducted by the LEA in planning for the use of Title II, Part A funds.  If the LEA is applying for Title II, Part A funds, this section is required, unless all funds from Title II, Part A are consolidated in a Consolidated Schoolwide Program pool of funds.</t>
  </si>
  <si>
    <t>Needs Assessment(s) and Planning for Title III, Part A</t>
  </si>
  <si>
    <t>Intervention Strategies for Identified Schools (Worksheet/Tab 2a)</t>
  </si>
  <si>
    <t>Required and Optional Title I Set-Asides/Reservations (Worksheet/Tab 2b)</t>
  </si>
  <si>
    <t>Indication of Intervention School Status</t>
  </si>
  <si>
    <t>Total Set Aside for Interventions Matches Required Amount</t>
  </si>
  <si>
    <t>Schools Not Meeting the Needs of Students with Disabilities</t>
  </si>
  <si>
    <t>Schools Not Meeting the Needs of English Language Learners</t>
  </si>
  <si>
    <t>Schools Not Meeting the Needs of Other Subgroups</t>
  </si>
  <si>
    <t>Schools Not Meeting AMOs for Two Consecutive Years</t>
  </si>
  <si>
    <t>Basis DC Public Charter School</t>
  </si>
  <si>
    <t>DC Scholars Public Charter School</t>
  </si>
  <si>
    <t>Creative Minds Public Charter School</t>
  </si>
  <si>
    <r>
      <t xml:space="preserve">TOTAL OF ALL TURNAROUND PRINCIPLES AND SELECTED STRATEGIES OF INTERVENTION FROM THE LEA'S TITLE I, PART A ALLOCATION: (For LEAs electing to consolidate funds within SWP schools, this amount can NOT be consolidated.) </t>
    </r>
    <r>
      <rPr>
        <b/>
        <i/>
        <sz val="10"/>
        <rFont val="Calibri"/>
        <family val="2"/>
      </rPr>
      <t>NOTE: If this amount matches the required set-aside, the cell will turn green. If it does not match, it will turn red.</t>
    </r>
  </si>
  <si>
    <t>Priority Interventions</t>
  </si>
  <si>
    <t>Focus Interventions</t>
  </si>
  <si>
    <t>Other Supports</t>
  </si>
  <si>
    <t>Before school (identify participating grade levels):</t>
  </si>
  <si>
    <t>Turnaround Principles and Preliminary Plans for Priority Schools</t>
  </si>
  <si>
    <t xml:space="preserve"> Preliminary Plans for Strategies of Intervention for Focus Schools</t>
  </si>
  <si>
    <t xml:space="preserve">Instructions: If your LEA has been identified as having Priority and/or Focus Schools and/or Schools Requiring Additional Support, the LEA must set aside a total of 20% of Title I, Part A funds to use toward interventions and must implement specific interventions as detailed below. Please note that these are preliminary plans. A template requesting more detail and outlining specific strategies will be provided. If you have schools in multiple categories, you will still only set aside a total of 20% of Title I, Part A funds. You may choose how you allocate the 20% set aside among identified schools and among intervention strategies. Based on the status of your schools, please indicate the strategies you will implement below and detail how funds will be used.
</t>
  </si>
  <si>
    <t>This does not apply to any LEAs at this time. Do not complete this section.</t>
  </si>
  <si>
    <t>The Local Educational Agency (LEA) hereby assures the State Education Agency (SEA) that the LEA will:</t>
  </si>
  <si>
    <t>Assurance #1</t>
  </si>
  <si>
    <t>Assurance #2</t>
  </si>
  <si>
    <t>Assurance #3</t>
  </si>
  <si>
    <t>Statewide Accountability Assurances</t>
  </si>
  <si>
    <t>Develop and implement an individualized intervention plan for each school under its jurisdiction that has been identified by OSSE as</t>
  </si>
  <si>
    <t>a focus school;</t>
  </si>
  <si>
    <t>Develop and implement an individualized intervention plan to address all seven (7) turnaround principles in the District’s Waiver, or has adopted a School Improvement Grant model of turnaround, for each school under its jurisdiction that has been identified by OSSE as a priority school;</t>
  </si>
  <si>
    <t>Assurance #4</t>
  </si>
  <si>
    <t>Annually administer the DC CAS and/or DC CAS Alt (as applicable) to its students in conformance with OSSE test integrity protocols;</t>
  </si>
  <si>
    <t>Report to OSSE biannually on its progress toward milestones in implementation of intervention plans for focus and priority schools in a format as requested;</t>
  </si>
  <si>
    <t>Assurance #5</t>
  </si>
  <si>
    <t>Assurance #6</t>
  </si>
  <si>
    <r>
      <t xml:space="preserve">Implement a teacher and leader evaluation system meets the requirements of the statewide guidelines developed by OSSE </t>
    </r>
    <r>
      <rPr>
        <sz val="10"/>
        <color rgb="FFFF0000"/>
        <rFont val="Calibri"/>
        <family val="2"/>
      </rPr>
      <t>(applicable to DCPS only)</t>
    </r>
    <r>
      <rPr>
        <sz val="10"/>
        <rFont val="Calibri"/>
        <family val="2"/>
      </rPr>
      <t>;</t>
    </r>
  </si>
  <si>
    <r>
      <t>Develop, pilot, and implement a teacher and leader evaluation system that: 1) will be used for continual improvement of instruction; 2) meaningfully evaluates performance using at least three differentiated performance levels; (3) uses multiple valid measures in determining performance levels, including as a significant factor data on student growth for all students (including English Learners and students with disabilities); (4) evaluates teachers and principals on a regular basis; (5) provides clear, timely, and useful feedback, including feedback that identifies needs and guides professional development; and (6) will be used to inform personnel decisions</t>
    </r>
    <r>
      <rPr>
        <sz val="10"/>
        <color rgb="FFFF0000"/>
        <rFont val="Calibri"/>
        <family val="2"/>
      </rPr>
      <t xml:space="preserve"> (applicable to Charter LEAs)</t>
    </r>
    <r>
      <rPr>
        <sz val="10"/>
        <rFont val="Calibri"/>
        <family val="2"/>
      </rPr>
      <t>;</t>
    </r>
  </si>
  <si>
    <t>Assurance #7</t>
  </si>
  <si>
    <t>Assurance #8</t>
  </si>
  <si>
    <r>
      <t xml:space="preserve">Reserve 20% of its Title I allocations for the purpose of carrying out interventions and supports in schools under its jurisdiction that either 1) have been identified by OSSE as priority and focus schools, or 2) have failed to meet the same Annual Measurable Objective target for two consecutive years </t>
    </r>
    <r>
      <rPr>
        <sz val="10"/>
        <color rgb="FFFF0000"/>
        <rFont val="Calibri"/>
        <family val="2"/>
      </rPr>
      <t>(applicable to LEAs that receive Title I, Part A)</t>
    </r>
    <r>
      <rPr>
        <sz val="10"/>
        <rFont val="Calibri"/>
        <family val="2"/>
      </rPr>
      <t>; and</t>
    </r>
  </si>
  <si>
    <r>
      <t xml:space="preserve">Amend its Title I, Part A plan to include interventions and supports for any school under its jurisdiction that has failed to meet the same Annual Measurable Objective target for two consecutive years </t>
    </r>
    <r>
      <rPr>
        <sz val="10"/>
        <color rgb="FFFF0000"/>
        <rFont val="Calibri"/>
        <family val="2"/>
      </rPr>
      <t>(applicable to LEAs that receive Title I, Part A)</t>
    </r>
    <r>
      <rPr>
        <sz val="10"/>
        <rFont val="Calibri"/>
        <family val="2"/>
      </rPr>
      <t>.</t>
    </r>
  </si>
  <si>
    <t>Statewide Accountability Assurances (Worksheet/Tab 20)</t>
  </si>
  <si>
    <t>Focus School Individualized Intervention Plan Assurance</t>
  </si>
  <si>
    <t>Priority School Individualized Intervention Plan Assurance</t>
  </si>
  <si>
    <t>Biannual Reporting Assurance</t>
  </si>
  <si>
    <t>Testing Administration Assurance</t>
  </si>
  <si>
    <t>1200 First Street, NE; Washington, DC  20002</t>
  </si>
  <si>
    <t>202-442-5149</t>
  </si>
  <si>
    <t>Jocelyn Basley</t>
  </si>
  <si>
    <t>Deputy Chief, Office of Federal Programs and Grants</t>
  </si>
  <si>
    <t>Jocelyn.Basley@dc.gov</t>
  </si>
  <si>
    <t>202-442-5155</t>
  </si>
  <si>
    <t>Janet Silverthorne</t>
  </si>
  <si>
    <t>Grant Development, Office of Federal Programs and Grants</t>
  </si>
  <si>
    <t>Janet.Silverthorne@dc.gov</t>
  </si>
  <si>
    <t>202-727-7218</t>
  </si>
  <si>
    <t>Kaya Henderson</t>
  </si>
  <si>
    <t>Aiton ES</t>
  </si>
  <si>
    <t>Amidon-Bowen ES</t>
  </si>
  <si>
    <t>Brightwood EC</t>
  </si>
  <si>
    <t>C.W. Harris ES</t>
  </si>
  <si>
    <t>Davis ES</t>
  </si>
  <si>
    <t>Drew ES</t>
  </si>
  <si>
    <t>Ferebee-Hope ES</t>
  </si>
  <si>
    <t>Garrison ES</t>
  </si>
  <si>
    <t>H.D. Cooke ES</t>
  </si>
  <si>
    <t>Kenilworth ES</t>
  </si>
  <si>
    <t>Kramer MS</t>
  </si>
  <si>
    <t>Malcolm X ES</t>
  </si>
  <si>
    <t>Nalle ES</t>
  </si>
  <si>
    <t>Orr ES</t>
  </si>
  <si>
    <t>Patterson ES</t>
  </si>
  <si>
    <t>Ron Brown MS</t>
  </si>
  <si>
    <t>Savoy ES</t>
  </si>
  <si>
    <t>Seaton ES</t>
  </si>
  <si>
    <t>Stanton ES</t>
  </si>
  <si>
    <t>Takoma EC</t>
  </si>
  <si>
    <t>Thomson ES</t>
  </si>
  <si>
    <t>Tyler ES</t>
  </si>
  <si>
    <t>Wheatley EC</t>
  </si>
  <si>
    <t>Bancroft ES</t>
  </si>
  <si>
    <t>Beers ES</t>
  </si>
  <si>
    <t>Burrville ES</t>
  </si>
  <si>
    <t>Cleveland ES</t>
  </si>
  <si>
    <t>Garfield ES</t>
  </si>
  <si>
    <t>Hendley ES</t>
  </si>
  <si>
    <t>J.O. Wilson ES</t>
  </si>
  <si>
    <t>Kimball ES</t>
  </si>
  <si>
    <t>Leckie ES</t>
  </si>
  <si>
    <t>Ludlow-Taylor ES</t>
  </si>
  <si>
    <t>Marie Reed ES</t>
  </si>
  <si>
    <t>Marshall ES</t>
  </si>
  <si>
    <t>Miner ES</t>
  </si>
  <si>
    <t>Payne ES</t>
  </si>
  <si>
    <t>Plummer ES</t>
  </si>
  <si>
    <t>Simon ES</t>
  </si>
  <si>
    <t>Smothers ES</t>
  </si>
  <si>
    <t>Thomas ES</t>
  </si>
  <si>
    <t>Tubman ES</t>
  </si>
  <si>
    <t>Browne EC</t>
  </si>
  <si>
    <t>Francis-Stevens EC</t>
  </si>
  <si>
    <t>Langdon EC</t>
  </si>
  <si>
    <t>Raymond EC</t>
  </si>
  <si>
    <t>Truesdell EC</t>
  </si>
  <si>
    <t>Walker-Jones EC</t>
  </si>
  <si>
    <t>Whittier EC</t>
  </si>
  <si>
    <t>Winston EC</t>
  </si>
  <si>
    <t>Eliot-Hine MS</t>
  </si>
  <si>
    <t>Hardy MS</t>
  </si>
  <si>
    <t>Hart MS</t>
  </si>
  <si>
    <t>Jefferson MS</t>
  </si>
  <si>
    <t>Johnson MS</t>
  </si>
  <si>
    <t>Sousa MS</t>
  </si>
  <si>
    <t>Sharpe Health School</t>
  </si>
  <si>
    <t>Ellington School of the Arts</t>
  </si>
  <si>
    <t>Maury ES</t>
  </si>
  <si>
    <t>Watkins ES</t>
  </si>
  <si>
    <t>Wilson SHS</t>
  </si>
  <si>
    <t xml:space="preserve">Provides direct fiscal services to central program offices and Title I schools. </t>
  </si>
  <si>
    <t>Homeless Coordinator</t>
  </si>
  <si>
    <t xml:space="preserve">Coordinates homeless activities and services. </t>
  </si>
  <si>
    <t>Parent Liaison</t>
  </si>
  <si>
    <t xml:space="preserve">Conducts the LCD parent and student orientation. </t>
  </si>
  <si>
    <t>Administrative Premium</t>
  </si>
  <si>
    <t>Anacostia HS</t>
  </si>
  <si>
    <t>Ballou HS</t>
  </si>
  <si>
    <t>Barnard ES (Lincoln Hill Cluster)</t>
  </si>
  <si>
    <t>Benjamin Banneker HS</t>
  </si>
  <si>
    <t>Brookland EC @ Bunker Hill</t>
  </si>
  <si>
    <t>Burroughs EC</t>
  </si>
  <si>
    <t>Coolidge HS</t>
  </si>
  <si>
    <t>Dunbar HS</t>
  </si>
  <si>
    <t>Eastern HS</t>
  </si>
  <si>
    <t>Houston ES</t>
  </si>
  <si>
    <t>Ketcham ES</t>
  </si>
  <si>
    <t>Noyes EC</t>
  </si>
  <si>
    <t>Roosevelt HS</t>
  </si>
  <si>
    <t>Bruce-Monroe ES @ Park View</t>
  </si>
  <si>
    <t>Shaw MS @ Garnet-Patterson</t>
  </si>
  <si>
    <t>Spingarn HS</t>
  </si>
  <si>
    <t>West EC</t>
  </si>
  <si>
    <t>Personnel expenses to deliver schoolwide program activities</t>
  </si>
  <si>
    <t>Powell ES (Lincoln Hill Cluster)</t>
  </si>
  <si>
    <t>Stuart-Hobson MS (Capitol Hill Cluster)</t>
  </si>
  <si>
    <t>Turner ES @ Green</t>
  </si>
  <si>
    <t>Not Applicable</t>
  </si>
  <si>
    <t>Teacher Trainer</t>
  </si>
  <si>
    <t>Cardozo HS</t>
  </si>
  <si>
    <t>Columbia Heights EC (CHEC)</t>
  </si>
  <si>
    <t>Kelly Miller MS</t>
  </si>
  <si>
    <t>King, M.L ES</t>
  </si>
  <si>
    <t>Langley ES (Formerly Emery EC)</t>
  </si>
  <si>
    <t>LaSalle-Backus EC</t>
  </si>
  <si>
    <t>Luke Moore Alternative HS</t>
  </si>
  <si>
    <t>M.C. Terrell/ McGogney ES</t>
  </si>
  <si>
    <t>MacFarland MS (Lincoln Hill Cluster)</t>
  </si>
  <si>
    <t>Mamie D. Lee School</t>
  </si>
  <si>
    <t>McKinley Technology HS</t>
  </si>
  <si>
    <t>Moten ES @ Wilkinson</t>
  </si>
  <si>
    <t>Phelps Architecture, Construction and Engineering HS</t>
  </si>
  <si>
    <t>Prospect LC</t>
  </si>
  <si>
    <t>Randle Highlands ES</t>
  </si>
  <si>
    <t>Woodson, H.D. HS</t>
  </si>
  <si>
    <t>DIBELS</t>
  </si>
  <si>
    <t>PreK or K through 12</t>
  </si>
  <si>
    <t>K through 12</t>
  </si>
  <si>
    <t>Randle Highland ES</t>
  </si>
  <si>
    <t>Stuart-Hobson MS (Captiol Hill Cluster)</t>
  </si>
  <si>
    <t>Takoma ES</t>
  </si>
  <si>
    <t>Washington Metro HS (formerly YEA)</t>
  </si>
  <si>
    <t xml:space="preserve"> Woodson, H.D. HS</t>
  </si>
  <si>
    <t xml:space="preserve">•Priority school leaders are evaluated through the School Leader IMPACT evaluation system. School Leader IMPACT evaluation ensures targeted, timely feedback that leads to student achievement growth and improved leadership practices, clarifies performance expectations that are aligned to the five-year strategic plan, district priorities, and each school’s CSP, assess principals’ levels of performance to inform reappointment decisions, professional development opportunities, and recognition and retention efforts, In effort to optimize and ensure the strongest leadership is in place.
• Principals are evaluated on School Achievement Outcomes (DC CAS Proficiency, DC CAS Subcategory, School Specific Goal) and Leadership Outcomes (Instruction, School Culture, Family &amp; Community, Operations, Personal Leadership, Talent).  Student Achievement Outcomes are assessed based on the degree to which principals and schools met their annual goals and the Leadership Outcomes are assessed along the Leadership Framework (LF) rubric
• Priority schools will implement the Collaborative Learning Cycle (CLC) and the Individual Learning Cycle (ILC).  Leadership will collect IMPACT data on every teacher in order to assign small cohorts of teachers to various PD topics centered around literacy and math instruction.  Instructional coaches, together with school administration, will use IMPACT data and other observation data to determine need areas for professional development.
</t>
  </si>
  <si>
    <t>DCPS has four schools eligible for Title I Targeted Assistance (TA) programs: Wilson HS, Watkins ES, Maury ES and Ellington School of the Arts. Each of these schools will utilize Multiple Educational Related Criteria (MERC) to determine which students should be selected for Title I Targeted Assistance. All measures used will identify below grade-level performance based on objective and documented procedures.  Students will be identified using two or more of the following measures:  1) Standardized Assessment (DC CAS); 2) Observation/Monitoring Assessments (developmental assessments or checklists such as PALS, Work Sampling System, DIBELS); 3) Local Tests - Language Proficiency Tests (i.e., ACCESS for ELLs, LAS), DC BAS, School Adopted Assessments (Publisher's Test, Placement Tests, Diagnostic Tests, Rubric-scored Portfolios, or Performance Assessments); 4) Grades in Reading and Mathematics; and 5) Teacher Recommendations.  Title I TA  principals will engage teachers to identify students for their respective program and notify the student's parents of their eligibility for targeted services. TA schools will document student eligibility  using the DCPS Title I Eligibility Form relevant to the targeted grade(s).   Once an eligible pool has been determined, Title I TA schools will identify the students most at risk of failing to meet the grade-level standards in reading and/or mathematics that it will serve under Title I. The TA schools will create a list of these students according to rank, with 1 being most at risk to 9  being the least at risk). These determinations will be made at the beginning of the school year.  However, through October 30th of each school year, TA schools should evaluate new students to determine eligibility and the list of students approved to receive TA services will be kept on file for review.</t>
  </si>
  <si>
    <t>DCPS provides information on the state standards and assessments and information about Title I programs in the following ways:
• DCPS Website
• Parental Right To Know Booklet
• Parent mailings
• Back to school nights
• Development of the schoolwide plans
• Title I annual parent  meeting
• Parent workshops
• Parent Resource Center
• Parent Fairs
• Parent/Teacher conferences</t>
  </si>
  <si>
    <t>Capital Commitment Goal 1: Improve Achievement Rates</t>
  </si>
  <si>
    <t>Capital Commitment Goal 2: Invest in Struggling Schools</t>
  </si>
  <si>
    <t>Transition Support for Existing School Choice families</t>
  </si>
  <si>
    <t>In addition to the materials listed above, the DCPS Office of Family and Public Engagement, in partnership with local community-based organizations, will offer a variety of programs that will strengthen home-school partnerships, increase at-home learning, support healthy living, advocate for students, develop parent leaders, and provide experiential learning opportunities.  Schools provide workshops for parents on various topics to help parents work with their childern to improve student achievement.  Some workshop topics include: literacy, math, DC CAS, DC CAP, reading, helping your child with homework, helping your child with study skills, etc.</t>
  </si>
  <si>
    <t xml:space="preserve">DCPS coordinates parent involvement programs from early learning programs primarily through our Office of Early Childhood Education.  This office works in partnership with our Head Start, Pre-K* Initiatives, Office of Family and Public Engagement, and Office of Federal Programs and Grants to ensure that parents are made aware of program services to encourage parental involvement.  In addition, some schools have partnerships with early learning programs that provide onsite and offsite workshops for parents.  Several of these programs distribute information to parents that is channeled through the school.  The Office of Family and Public Engagement (OFPE) is developing innovative ways to ensure schools are leveraging the appropriate partnerships, such as early learning programs, to encourage parents to participate in the education of their children. </t>
  </si>
  <si>
    <t>Many schools translate materials that are sent home to parents. They also offer translations for those who request it. OFPE also works with schools and the Office of Bilingual Education to ensure that communications to parents about the school, parent programs, meetings, and other activities are sent to parents in a format and language the parents can understand.  The diversity of DCPS families is increasing, and we are investigating new venues for ensuring that all parents have access to equitable translation and interpretation services.</t>
  </si>
  <si>
    <t>Consolidated Schoolwide Program (Personnel)</t>
  </si>
  <si>
    <t>Consolidated Schoolwide Program (Local Contribution for Personnel)</t>
  </si>
  <si>
    <t>DCPS will consolidate ~ $14,630,402.90 of Title I Part A Funds and ~ $838,850 of Title II, Part A funds for a total Consolidated Schoolwide Program pool of $15,469,252.90. These funds will be used to support various positions at 94 Title I schools. However, these funds will be used only to support personnel who meet highly qualified requirements.  The distribution of funds will be based on the proportionality model as prescribed by the DOE's 2008 non-regulatory guidance.  DCPS will utilize the results of the LEA needs assessment to determine and address the needs of all children in a Title I Schoolwide program.  Students participating in a schoolwide program, especially the lowest achieving, will be exposed to the reinforcement of assessment standards through extended learning opportunities (i.e., Homework Help, Saturday Academies, summer school, afterschool programs, and data-driven instruction) not only to identify strengths and weaknesses but also to rebuild mathematics and literacy skills. Principals will compose or update the DCPS Comprehensive School Plan, covering a two-year school period,  that addresses the 10 required NCLB Schoolwide Components but ensures continuous school improvement  through our school performance mangement processses . School performance management processes establish targets and benchmarks that will measure how effectively a school organizes to support the development of a professional learning community focused around improving student achievement.  School performance management processes will provide key information that will assist the DCPS in determining the appropriate options for each school and what specific actions taken and/or support must be provided to each school.  School performance managment is a systematic process by which we can:
• Determine what is happening in schools relative to teaching and learning;
• Guide each school through a process of self-reflection;
• Develop and implement school-specific comprehensive turnaround plans based upon the identified needs of each school; and
• Establish a process that leads to continuous school improvement and student achievement. 
The Comprehensive School Plan, derived from several foundations and inclusive of a Schoolwide Plan, will articulate an action plan that will also include frequent monitoring of teaching and learning, data-driven feedback, instructional learning supports, and family and community involvement.  The plan will be developed and reviewed by school-based and non-school-based stakeholders including but not limited to the Principal, School Support Specialists, School Improvement Specialists, Local School Restructuring Team, classroom teachers, parents, and other invested parties.  Documentation of the team's participation will be recorded. This body will serve as the primary decision makers and evaluators of the plans.  
Schools will conduct a needs assessment based upon outcome data, demographic data, and process data.  This data will be collected to conduct a Root Cause Analysis which will help to prioritize the reasonable and attainable goals the plan will address within the two years.  Identifying priorities will be managed in the following manner:
• Prioritize the initiatives and interventions beginning with those that have the MOST potential for immediately improving student achievement and within the school's control
• Examine the prioritized interventions and determine if they are sufficient to mitigate academic deficiencies.  
• Identify needed interventions/strategies for all children, but particularly the neediest and most disadvantaged.
• Identify the professional development necessary to support the implementation of interventions and strategies. 
• Develop measurable goals for a two-year time frame.
Through the School Performance Management process, schools will review, revise and update their respective Comprehensive School Plan regularly and collaboratively as additional needs are identified, priorities change and progress is made.</t>
  </si>
  <si>
    <t>OFPG/Jocelyn Basley (61732)</t>
  </si>
  <si>
    <t>Deputy Chief, OFPG</t>
  </si>
  <si>
    <t>OFPG/Janet Silverthorne (65381)</t>
  </si>
  <si>
    <t>Manager, GDT</t>
  </si>
  <si>
    <t>OFPG/Curtis Johnson (65392)</t>
  </si>
  <si>
    <t>Director, MPS</t>
  </si>
  <si>
    <t>OFPG/Jaime Willis (63303)</t>
  </si>
  <si>
    <t>Manager, QPI</t>
  </si>
  <si>
    <t>OFPG/Yiesha Thompson (68391)</t>
  </si>
  <si>
    <t>Specialist, MPS</t>
  </si>
  <si>
    <t>OFPG/Irving Kelly (67620)</t>
  </si>
  <si>
    <t>Coordinator, MPS</t>
  </si>
  <si>
    <t>OFPG/Fran-Victoria Stephens (70233)</t>
  </si>
  <si>
    <t>Coordinator, QPI</t>
  </si>
  <si>
    <t>OFPG/Vacancy (67619)</t>
  </si>
  <si>
    <t>Manager, TBD</t>
  </si>
  <si>
    <t>OFPG/Larry Norman (59102)</t>
  </si>
  <si>
    <t>Manager, APP</t>
  </si>
  <si>
    <t>OFPG/Hasan Ashshaheed (60770)</t>
  </si>
  <si>
    <t>Analyst, FMT</t>
  </si>
  <si>
    <t>OFPG/Vacancy (57099)</t>
  </si>
  <si>
    <t>OFPG/Divya Kumar (70246)</t>
  </si>
  <si>
    <t>Analyst, MPS</t>
  </si>
  <si>
    <t>OFPG/Michael Quander (60667)</t>
  </si>
  <si>
    <t>OFPG/Christina Ashford (60384)</t>
  </si>
  <si>
    <t>Coordinator, FMT</t>
  </si>
  <si>
    <t>OFPG/Tami Garcia (63042)</t>
  </si>
  <si>
    <t>Manager, FMT</t>
  </si>
  <si>
    <t>OFPG/Kimetha Payton (70249)</t>
  </si>
  <si>
    <t>Specialist, FMT</t>
  </si>
  <si>
    <t>OFPG/Vacancy (70866)</t>
  </si>
  <si>
    <t>New position to support Goal 1 - improve student achievement rates in mathematics</t>
  </si>
  <si>
    <t>Mgr, STEM Learn Dsgn</t>
  </si>
  <si>
    <t>Coordinator, Literacy</t>
  </si>
  <si>
    <t>New position to support Goal 1 - improve student achievement rates in reading</t>
  </si>
  <si>
    <t>OST/Thomas, Tammie (73467)</t>
  </si>
  <si>
    <t>Cluster 5 Specialist</t>
  </si>
  <si>
    <t>Cluster 6 Specialist</t>
  </si>
  <si>
    <t>Cluster 9-11 Specialist</t>
  </si>
  <si>
    <t>Instructional Supt.</t>
  </si>
  <si>
    <t>COS/Anderson, Terry (71773)</t>
  </si>
  <si>
    <t>COS/Zagami, Stephen (71774)</t>
  </si>
  <si>
    <t>Direct instructional support for schools and collaboration across the clusters</t>
  </si>
  <si>
    <t>Social Workers</t>
  </si>
  <si>
    <t>Provide focused intervention to reduce chronically high truancy rates @ Anacostia</t>
  </si>
  <si>
    <t>Provide focused intervention to reduce chronically high truancy rates @ Dunbar</t>
  </si>
  <si>
    <t>Provide focused intervention to reduce chronically high truancy rates @ Spingarn</t>
  </si>
  <si>
    <t>Provide focused intervention to reduce chronically high truancy rates @ Roosevelt</t>
  </si>
  <si>
    <t>Targeted interventions; community-based partnerships at focus schools</t>
  </si>
  <si>
    <t>Targeted interventions; community-based partnerships at priority schools</t>
  </si>
  <si>
    <t>Technology needs at focus schools</t>
  </si>
  <si>
    <t>Technology needs at priority schools</t>
  </si>
  <si>
    <t>Security services for extended day at focus schools</t>
  </si>
  <si>
    <t>Security services for extended day at priority schools</t>
  </si>
  <si>
    <t>Provides direct services and technical assistance for all Title I programs and schools</t>
  </si>
  <si>
    <t>Provides performance management, data administration and analysis for Title I program office staff.</t>
  </si>
  <si>
    <t>District-level oversight for all Title funded program staff, initiatives and activities.</t>
  </si>
  <si>
    <t xml:space="preserve">Manages  grant development/management services to central program offices &amp; schools. </t>
  </si>
  <si>
    <t xml:space="preserve">Manages direct fiscal services to central program offices and Title I schools. </t>
  </si>
  <si>
    <t xml:space="preserve">Provides fiscal services to central program offices and Title I schools. </t>
  </si>
  <si>
    <t>Provides direct fiscal services to central program offices and Title I schools.</t>
  </si>
  <si>
    <t>Manages direct services and technical assistance for all Title I schools and school-based programs.</t>
  </si>
  <si>
    <t>Provides quality service and technical assistance for  Title I central and school-based programs.</t>
  </si>
  <si>
    <t>Execution of Parental activities as defined by each Title I school's comprehensive school plan</t>
  </si>
  <si>
    <t>Parental Involvement trainings/workshops for private school parents.</t>
  </si>
  <si>
    <t>OFPG/Equitable Services - 3rd party vendor for non-public schools (Learn It Systems)</t>
  </si>
  <si>
    <t>Instruction for at-risk DCPS students attending private schools</t>
  </si>
  <si>
    <t>OFPG/Equitable Services - 3rd party vendor for non-public schools (Teachscape)</t>
  </si>
  <si>
    <t>OFPG/Equitable Services - administrative and management contracts</t>
  </si>
  <si>
    <t>OYE/Homeless - Parent trainings</t>
  </si>
  <si>
    <t>Services will include the training, educational supplies, refreshments and other logistics</t>
  </si>
  <si>
    <t xml:space="preserve">OYE/Homeless - Prof. Development for School-based Homeless </t>
  </si>
  <si>
    <t>OYE/Homeless - Student School Supplies</t>
  </si>
  <si>
    <t>Supports a maximum of 200 homeless students at the average cost of $50.00 per student</t>
  </si>
  <si>
    <t>Provider to supply brochures, homeless rights posters and other promotional materials.</t>
  </si>
  <si>
    <t>OYE/Homeless - HCYP Outreach &amp; Advertisment</t>
  </si>
  <si>
    <t>Graduation fees for ~ 50 graduating students at an average cost of $180.00 per student</t>
  </si>
  <si>
    <t>OYE/Homeless - Uniforms &amp; Emergency clothing</t>
  </si>
  <si>
    <t xml:space="preserve"> Provides ssistance for ~ 200 homeless students  not to exceed $100.00 per student</t>
  </si>
  <si>
    <t>IC Specialist</t>
  </si>
  <si>
    <t>Provides training, support, and evaluation for school-based Instructional Coaches.</t>
  </si>
  <si>
    <t>Targeted Assistance Programs</t>
  </si>
  <si>
    <t>IMPACT data for teachers, mentors and coaches</t>
  </si>
  <si>
    <t>Instructional Coaches</t>
  </si>
  <si>
    <t>Sustained job-embedded PD for private school educators</t>
  </si>
  <si>
    <t>OFPG/Equitable Services - contract administration</t>
  </si>
  <si>
    <t>Targeted Assistance Schools (Wilson, Maury, Ellington, and Watkins)</t>
  </si>
  <si>
    <t>Professional Development opportunities for teachers, principals and school staff.</t>
  </si>
  <si>
    <t>Non-Title I Schools</t>
  </si>
  <si>
    <t>Alternative Schools</t>
  </si>
  <si>
    <t xml:space="preserve">DCPS will ensure its accountability for meeting the annual measurable achievement objectives (AMAO) and making adequate yearly progress (AYP) for limited English proficient (LEP) students through the guidelines and accountability measures set out in the DCPS Teaching and Learning Framework.   All  teachers working with English language learners (ELLs) will set out learning goals linked to meeting state academic content and student achievement standards.  Teachers will measure progress and maintain data throughout the school year.  Teachers will present the data, along with a measure of where their students are in relation to meeting their academic goals for the year, to their administrators three times annually.  DCPS ESL teachers will set learning goals linked to the annual measurable achievement objectives.  ESL teachers will maintain data on their students' progress in meeting these goals and present this data to their administrators three times annually.   Schools will continue to have a team who will analyze student data to design and inform instruction. Teams will look at AYP data for the ELL subgroups and data from the ACCESS for ELLs language proficiency test. The Office of Bilingual Education (OBE) will provide support services and technical assistance to schools not meeting their AMAO targets. This focus on data-driven instruction and the clear focus on each ELL student's progress in achieving academic goals and increasing English language proficiency will ensure that DCPS meets its AMAO goals and AYP targets for ELLs.  ELLs in grades 3-8 and grade 10 will participate in the DC CAS, and all ELLs will participate in the ACCESS for ELLs exam in the spring of 2013, and data will be reported to the Office of the State Superintendent of Education.  
The Office of Bilingual Education provides targeted professional development and technical assistance to schools that did not meet their AMAO targets in an effort to support and guide schools on how to effectively meet the targets.  OBE will continue to provide training and technical support to all schools that serve ELLs to maintain their progress in academic achievement and English language proficiency.
DCPS will also require that each school that serves ELLs will gather and organize their quantitative and qualitative information concerning ELLs  to develop a well-conceived school-based language acquisition program (LAP) that describes the quality ELL programs to be implemented at the school site.  Teams at local school sites will examine information about the ELLs they serve including demographic information, home language, number of years in ESL, level of prior schooling, special needs, and academic data.  School teams will use this information to determine which organizational and program models will best serve their ELLs and they will verify the number of instructional minutes provided according the proficiency levels of their ELLs.  School teams will also describe how the content areas are delivered in each program model and the instructional approaches and methods used to make content comprehensible to enrich language development. School teams will also describe their instructional plan for Students with Interrupted Formal Education (SIFE), newcomers, long-term ELLs and ELL identified as having special needs.  Schools will describe their targeted intervention programs for ELLs in English/Language Arts, math and other content areas and the range of intervention services offered in the school.
</t>
  </si>
  <si>
    <t>varies</t>
  </si>
  <si>
    <t>See attached Annual Consulation Calendar</t>
  </si>
  <si>
    <t>Credit Recovery</t>
  </si>
  <si>
    <t>online learning</t>
  </si>
  <si>
    <t>OST/ Lopes, Ron (56878)</t>
  </si>
  <si>
    <t>OYE/Nicole Lee-Mwandha (71727)</t>
  </si>
  <si>
    <t>OBE/Altaye Gizaw (58879)</t>
  </si>
  <si>
    <t>Cluster 2 Specialist</t>
  </si>
  <si>
    <t>OST/Robinson, Camille (72075)</t>
  </si>
  <si>
    <t>OST/French, Cristina (64452)</t>
  </si>
  <si>
    <t>Cluster 3 Specialist</t>
  </si>
  <si>
    <t>OST/Frazier, Tracee (59347)</t>
  </si>
  <si>
    <t>Program Specialist</t>
  </si>
  <si>
    <t>OST/James, Angel (72074)</t>
  </si>
  <si>
    <t>Program Assistant</t>
  </si>
  <si>
    <t>Analyst TBD</t>
  </si>
  <si>
    <t>Placeholder for OFPG expansion due to increase federal/intradistrict responsibilities</t>
  </si>
  <si>
    <t>Develops, procures, and coordinates PD to teachers, coaches, principals, and school staff</t>
  </si>
  <si>
    <t>OCI/Davis-Holmes, Sharon (59582)</t>
  </si>
  <si>
    <t>Math Specialist</t>
  </si>
  <si>
    <t>PD to secondary tchrs/admins re: student performance analysis, math resources, State Standards</t>
  </si>
  <si>
    <t>Provides PD to elem. tchrs/admins re: student performance analysis, math resources, State Standards</t>
  </si>
  <si>
    <t>OCI/Evans, Anne (59394)</t>
  </si>
  <si>
    <t>OCI/Bibbs, Monica (53639)</t>
  </si>
  <si>
    <t>OCI/Nelson, Marguerite (54562)</t>
  </si>
  <si>
    <t>Admin. Asst.</t>
  </si>
  <si>
    <t>OCI/Settle-Glenn, Angela (58761)</t>
  </si>
  <si>
    <t>Provides PD to secondary teachers/administrators in reading/literacy and Common Core State Standards</t>
  </si>
  <si>
    <t>OCI/Colgan, Corinne (58863)</t>
  </si>
  <si>
    <t>Literacy Director</t>
  </si>
  <si>
    <t>Coordinator</t>
  </si>
  <si>
    <t>Logistical assistance for Principal and Asst Princ PD Academies and Instr Coaches' PD trainings</t>
  </si>
  <si>
    <t>OCI/Dennis, Traci (65390)</t>
  </si>
  <si>
    <t>Secondary Specialist</t>
  </si>
  <si>
    <t>Science Specialist</t>
  </si>
  <si>
    <t>Provides PD to teachers re: science curricular resources, integration of literacy, State Standards</t>
  </si>
  <si>
    <t>Elementary Specialist</t>
  </si>
  <si>
    <t>Literacy Specialist</t>
  </si>
  <si>
    <t>OCI/Rountree, James (65394)</t>
  </si>
  <si>
    <t>Mgr, Elementary Content</t>
  </si>
  <si>
    <t>Oversees the delivery of PD to teachers/administrators in reading and Common Core State Standards</t>
  </si>
  <si>
    <t>OCI/Tejura, Seema (68355)</t>
  </si>
  <si>
    <t>OCI/Morant, Tamika (73699)</t>
  </si>
  <si>
    <t>OCI/LaHue, Chrisanne (73708)</t>
  </si>
  <si>
    <t>OCI/Carpenter, Stephanie (73710)</t>
  </si>
  <si>
    <t>OCI/Matthews, Jessica (73715)</t>
  </si>
  <si>
    <t>OCI/Welsheimer, Abby (73711)</t>
  </si>
  <si>
    <t>OCI/Mills, Sara (73709)</t>
  </si>
  <si>
    <t>OCI/Green, Jennifer (73712)</t>
  </si>
  <si>
    <t>OCI/Campbell, Sean (73714)</t>
  </si>
  <si>
    <t>OCI/Vacant (73697)</t>
  </si>
  <si>
    <t>Schedules PD, and prepares and disseminates PD materials for all content areas</t>
  </si>
  <si>
    <t>OCI/Vacancy (67698)</t>
  </si>
  <si>
    <t>OCI/Wilen, Lori Elise (75102)</t>
  </si>
  <si>
    <t>STEM Director</t>
  </si>
  <si>
    <t>OCI/Ivory, Kaiulani (75259)</t>
  </si>
  <si>
    <t>OCI/Abbott, Scott (75260)</t>
  </si>
  <si>
    <t>Soc. Stud. Specialist</t>
  </si>
  <si>
    <t>OCI/Hall, Benjamin (58864)</t>
  </si>
  <si>
    <t>NA</t>
  </si>
  <si>
    <t>OFPG/Title I printing</t>
  </si>
  <si>
    <t>Printing and distribution for mandated Title I documentation: PRTK letters, handbooks, etc</t>
  </si>
  <si>
    <t>OFPG/Staff training</t>
  </si>
  <si>
    <t>Professional development for OFPG leadership and staff: Title I conferences and workshops</t>
  </si>
  <si>
    <t>Mandated translations for Title I and bilingual parent information</t>
  </si>
  <si>
    <t>Cluster 11/Youth Service Center</t>
  </si>
  <si>
    <t xml:space="preserve">Supplies and materials for the Youth Service Center. </t>
  </si>
  <si>
    <t>Cluster 11/Incarcerated Youth Program</t>
  </si>
  <si>
    <t xml:space="preserve">Supplies and materials for the Incarcerated Youth Program. </t>
  </si>
  <si>
    <t>School personnel compensation for participation in Afterschool &amp; Summer Programs.</t>
  </si>
  <si>
    <t>Professional Development instructional support training to Title I teachers at non-public schools</t>
  </si>
  <si>
    <t>OFPG/Equitable Services -Stipends (private school teachers) via Contractor</t>
  </si>
  <si>
    <t>Stipends for private school educators attending PD</t>
  </si>
  <si>
    <t>Provides training, support, &amp; evaluation for school-based Instructional Coaches</t>
  </si>
  <si>
    <t>10 school-based IC positions</t>
  </si>
  <si>
    <t>School-based instructional coaches to support the ten (10) Focus  schools</t>
  </si>
  <si>
    <t>Administrative contractual service for equitable services</t>
  </si>
  <si>
    <t>Content Specialist</t>
  </si>
  <si>
    <t>Oversees the delivery STEM-related PD for teachers, coaches, principals and school staff</t>
  </si>
  <si>
    <t>14 school-based IC positions</t>
  </si>
  <si>
    <t>Goal 2: Facilitates progress monitoring and support for the lowest performing schools in Cluster 1</t>
  </si>
  <si>
    <t>Goal 2:Facilitates progress monitoring and support for the lowest performing schools in Cluster 2</t>
  </si>
  <si>
    <t>Goal 2:Facilitates progress monitoring and support for the lowest performing schools in Cluster 5</t>
  </si>
  <si>
    <t>Goal 2:Facilitates progress monitoring and support for the lowest performing schools in Cluster 6</t>
  </si>
  <si>
    <t>Goal 2:Facilitates progress monitoring and support for the lowest performing schools in Cluster 7</t>
  </si>
  <si>
    <t>Goal 2: Facilitates external partnerships for the lowest performing schools across all clusters</t>
  </si>
  <si>
    <t>Goal 2: Provides program and data support to/for all Cluster Specialists</t>
  </si>
  <si>
    <t>OCFO/OFPG Indirect Costs</t>
  </si>
  <si>
    <t>Support district-wide family and public engagement district initiatives</t>
  </si>
  <si>
    <t>Enable more effective teaching and learning in Watkins' tutoring sessions</t>
  </si>
  <si>
    <t>TA/Watkins: Leveled reading text and math</t>
  </si>
  <si>
    <t>TA/Watkins: Mac Book Air (10)</t>
  </si>
  <si>
    <t>TA/Watkins: 3rd party Tutoring provider</t>
  </si>
  <si>
    <t>Provides tutoring and assessments for targeted students at Watkins</t>
  </si>
  <si>
    <t>TA/Maury: 3rd party Tutoring provider</t>
  </si>
  <si>
    <t>Provides personalized reading intervention and assessments for targeted students at Maury</t>
  </si>
  <si>
    <t>TA/Ellington: Reading Invention program</t>
  </si>
  <si>
    <t>TA/Maury: Scholastic Guided Reading collection</t>
  </si>
  <si>
    <t>Enable more effective teaching and learning for Maury's reading interventions</t>
  </si>
  <si>
    <t>TA/Maury: iPads (25)</t>
  </si>
  <si>
    <t>Enable personalized instruction and engagement in Watkins' tutoring sessions</t>
  </si>
  <si>
    <t>Enable personalized instruction and engagement for Maury's reading interventions</t>
  </si>
  <si>
    <t>Enable personalized instruction &amp; engagement for Wilson's reading &amp; math focused instruction program</t>
  </si>
  <si>
    <t>TA/Wilson: 3rd party focused instruction provider</t>
  </si>
  <si>
    <t>Develops focused reading/math instruction and assessments for targeted students @ Wilson</t>
  </si>
  <si>
    <t>Parental Involvement flow-through to Title I schools (SWP &amp; TA)</t>
  </si>
  <si>
    <t>OYE/Homeless - Prof. Development for HCYP Staff</t>
  </si>
  <si>
    <t>Local training expenses for two NCEH attendees and travel for four NAEHCY attendees</t>
  </si>
  <si>
    <t>OYE/Homeless - Student School Fees</t>
  </si>
  <si>
    <t>Buses via Capital Entertainment Services and WMATA tokens/passes</t>
  </si>
  <si>
    <t>OFPG/School Choice - Transportation for continuing  students and parents</t>
  </si>
  <si>
    <t>School-based instructional coaches to support fourteen (14) Priority schools</t>
  </si>
  <si>
    <t>Aiton</t>
  </si>
  <si>
    <t>Admin. Premium</t>
  </si>
  <si>
    <t>Anacostia</t>
  </si>
  <si>
    <t>For 2 staff members to support computer labs after school to allow students to use for homework</t>
  </si>
  <si>
    <t>Browne</t>
  </si>
  <si>
    <t>Admin Premium for training (12 hrs)</t>
  </si>
  <si>
    <t>Drew</t>
  </si>
  <si>
    <t>Admin Premium for priority interventions</t>
  </si>
  <si>
    <t>Garfield</t>
  </si>
  <si>
    <t>Woodson, H.D.</t>
  </si>
  <si>
    <t>Admin Premium</t>
  </si>
  <si>
    <t>Nalle</t>
  </si>
  <si>
    <t>Admin Premium for focus interventions</t>
  </si>
  <si>
    <t>Orr</t>
  </si>
  <si>
    <t>Admin Premium for facilitated planning, team building, school culture PD</t>
  </si>
  <si>
    <t>Stanton</t>
  </si>
  <si>
    <t xml:space="preserve">5 teachers to serve as Teacher Leads and oversee our work in literacy, math, and school culture. </t>
  </si>
  <si>
    <t>Spingarn</t>
  </si>
  <si>
    <t>2 teachers x 4 days x30 weeks dedicated to extended day priority interventions</t>
  </si>
  <si>
    <t>Washington Metropolitan</t>
  </si>
  <si>
    <t>C.W. Harris</t>
  </si>
  <si>
    <t>School-based security needs for after school and extended day programming</t>
  </si>
  <si>
    <t>Smartboard, Dell, and Apple, other hardware</t>
  </si>
  <si>
    <t>Supplies and software necessary for priority schools' program implementation</t>
  </si>
  <si>
    <t>Consultants, instructional staff trainers, etc. Examples of specific vendors on tab 2a.</t>
  </si>
  <si>
    <t>Supplies and software necessary for focus schools' program implementations</t>
  </si>
  <si>
    <t>Instructional staff for Saturday and Extended Day interventions &amp; non-instr. support staff</t>
  </si>
  <si>
    <t>Tyler</t>
  </si>
  <si>
    <t>Amidon-Bowen</t>
  </si>
  <si>
    <t>Reading Specialist</t>
  </si>
  <si>
    <t>Instructional staff dedicated to priority interventions</t>
  </si>
  <si>
    <t>Coordinator, Special Programs</t>
  </si>
  <si>
    <t xml:space="preserve">school-based support staff dedicated to priority interventions </t>
  </si>
  <si>
    <t xml:space="preserve">Teacher, After School </t>
  </si>
  <si>
    <t xml:space="preserve">Aide, After School </t>
  </si>
  <si>
    <t>Aide, After School</t>
  </si>
  <si>
    <t>Teacher, After School</t>
  </si>
  <si>
    <t>Teacher, Reading Intervention</t>
  </si>
  <si>
    <t>Dunbar</t>
  </si>
  <si>
    <t>Coordinator, Saturday School</t>
  </si>
  <si>
    <t>Teacher, Technology</t>
  </si>
  <si>
    <t xml:space="preserve">Teacher, Saturday School </t>
  </si>
  <si>
    <t>Johnson, John Hayden</t>
  </si>
  <si>
    <t>Counselor, Truancy/Attendance</t>
  </si>
  <si>
    <t>Kelly Miller</t>
  </si>
  <si>
    <t>Coordinator, After School</t>
  </si>
  <si>
    <t>Counselor, Attenance/Family Engagement</t>
  </si>
  <si>
    <t>Teacher, Saturday Scholars</t>
  </si>
  <si>
    <t>LaSalle-Backus</t>
  </si>
  <si>
    <t>Teacher After School</t>
  </si>
  <si>
    <t>Luke Moore</t>
  </si>
  <si>
    <t>Specialist, Transition</t>
  </si>
  <si>
    <t>Malcolm X</t>
  </si>
  <si>
    <t>Social Worker</t>
  </si>
  <si>
    <t>Moten @ Wilkinson</t>
  </si>
  <si>
    <t>Coordinator, Behavior</t>
  </si>
  <si>
    <t>Coordinator, Technology</t>
  </si>
  <si>
    <t>Roosevelt</t>
  </si>
  <si>
    <t>Savoy</t>
  </si>
  <si>
    <t>Teacher, Summer School</t>
  </si>
  <si>
    <t>Teacher</t>
  </si>
  <si>
    <t>Behavior Technician</t>
  </si>
  <si>
    <t>Extra Duty Pay - Non-instructional Staff</t>
  </si>
  <si>
    <t>Ballou</t>
  </si>
  <si>
    <t xml:space="preserve">school-based support staff dedicated to focus interventions </t>
  </si>
  <si>
    <t>Davis</t>
  </si>
  <si>
    <t>Instructional staff dedicated to focus interventions</t>
  </si>
  <si>
    <t>Patterson</t>
  </si>
  <si>
    <t>Academic Interventionist</t>
  </si>
  <si>
    <t>Aide, Administrative</t>
  </si>
  <si>
    <t>Administrative support staff dedicated to focus interventions</t>
  </si>
  <si>
    <t>Washington Metropolitan HS</t>
  </si>
  <si>
    <t>Langley ES</t>
  </si>
  <si>
    <t>Educational and office supplies, guided reading materials, instructional aids, licenses &amp; software, etc.</t>
  </si>
  <si>
    <t>Educational &amp; office supplies, guided reading materials, instructional aids, licenses &amp; software, etc.</t>
  </si>
  <si>
    <t>For admin preminim/salary adjusments  across Focus schools</t>
  </si>
  <si>
    <t>For admin preminim/salary adjusments  across Priority schools</t>
  </si>
  <si>
    <t>OS/Support for Focus school interventions</t>
  </si>
  <si>
    <t>OS/Support for Priority school interventions</t>
  </si>
  <si>
    <t>OFPG/Equitable Services - teacher certification</t>
  </si>
  <si>
    <t>Graduate courses, workshops, seminars and conferences that support certification</t>
  </si>
  <si>
    <t>The amount was determined by adding the Private School per pupil allocation for direct services to the projected cost of providing those services.  Since DCPS engages in its budget process well in advance of the OSSE's application, we traditionally hold both public and private schools harmless and make any necessary adjustments at a central level. 
DCPS makes the final per pupil determination for both Independent and Archdiocesan Schools in the following ways:
Title I, Instructional:
Per pupil: $569.73
This is determined through the total school flow-through instructional allocation divided by the total District poverty count.  Each Private School receives an allocation equal to the per pupil times the poverty count for each school.
Total Instructional Allocation: $1,441,986.63
Title I, PD:
Per pupil: $16.63
This is determined through the total Professional Development allocation (5% of total Title I Award) divided by the total District poverty count.  Each Private School receives an allocation equal to the per pupil times the poverty count for each school.
Total Professional Development Allocation: $42,090.53
Title I, PI:
Per pupil: $3.16
This is determined through the total Parental Involvement allocation (95% of 1% of total Title I Award) divided by the total District poverty count.  Each Private School receives an allocation equal to the per pupil times the poverty count for each school.
Total Parental Involvement Allocation: $7,997.96</t>
  </si>
  <si>
    <t xml:space="preserve">Title II, A:
Per pupil: $125.99
This is determined through the total Title II award (minus required set-asides) divided by the total District enrollment count.  Each Private School receives an allocation equal to the per pupil times the enrollment count for each school.
Total Title II Allocation: $1,0110,439.80                                                                                                                                                                                                                                                                                                              </t>
  </si>
  <si>
    <t>Title III:
Per pupil: $73.88
This is determined through the total Title III award divided by the total District English Language Learners count.  Each Private School receives an allocation equal to the per pupil times the English Language Learners count for each school.
Total Title III Allocation: $16,327.65</t>
  </si>
  <si>
    <t>OFPG/Equitable Services - Program Evaluation (WESTAT)</t>
  </si>
  <si>
    <t>Evaluation of Title I Program for students attending private schools</t>
  </si>
  <si>
    <t>Administrative costs for providers and program management</t>
  </si>
  <si>
    <t>OCI/Arlena Gaynor (70258)</t>
  </si>
  <si>
    <t>OCI/Nancy Abou-Samra (59962)</t>
  </si>
  <si>
    <t>OCI/Melissa Leach (73713)</t>
  </si>
  <si>
    <t>OCI/Crystal Hahn (73698)</t>
  </si>
  <si>
    <t>The school ensures that educators understand the importance of communicating and working with parents to build ties with the schools by developing Parent Involvement Plans and Compacts that include teacher responsibilities. Additionally, all schools are expected to fully implement the Effective Schools Framework which clearly defines in Element 6 the expectation of school staff communication with families and community members.  A copy of the Effective Schools Framework is submitted as a separate document.</t>
  </si>
  <si>
    <t xml:space="preserve">Services will be provided to approximately 149 neglected and delinquent children. This number is based on the current resident population and an estimate of students who spend at least 30 consecutive days at either of two facilities during the course of the school year. At present there are 41 resident students at the Incarcerated Youth Program (IYC) and 108 students at the Youth Services Center (YSC).   Additionally, more that 100 students spend at least 30 consecutive days either the Incarcerated Youth Program (IYP) and the Youth Services Center (YSC).  Throughout the year over 800 students are served.
</t>
  </si>
  <si>
    <t xml:space="preserve">Many schools translate materials that are sent home to parents. They also offer translations for those who request it. OFPE also works with schools and the Office of Bilingual Education to ensure that communications to parents about the school, parent programs, meetings, and other activities are sent to parents in a format and language the parents can understand.  The diversity of DCPS families is increasing, and we are investigating new venues for ensuring that all parents have access to equitable translation and interpretation services.  Through its Parent Resource Centers, DCPS hosts a series of workshops that teach nutrition, literacy, computer, and parent skills.  Additionally, schools advocate volunteerism, train principals and teachers in effective engagement strategies, raise expectations for how teachers engage parents, educate parent leaders on effective classroom level engagement and engage community groups to provide schools with classes that teach parents how to support their children’s learning.  Schools will also provide the following interventions to meet parent requests:  • Quarterly family engagement events, awards ceremonies and home visits will be implemented to maintain positive communication with families: e.g.  Ballou Day/HS Orientation (Q1); Turkey Giveaway Event (Q2); Food Vouchers for Families (Q3); and School-wide Cookout (Q4)   
• Quarterly awards ceremonies: Honor Roll Banquet, Sports Banquet
• Freshman Success Academy Family Fun Nights  
• Newsletter with an academic focus will be sent home on a quarterly basis
• First Fridays (incentives):August 31st – Jeans and Ballou t-shirt day; Lunchtime Fun performances/activities
• The Behavioral Team will share parent communication data with the Office of Attendance and Registration monthly. 
• Assign social workers to provide direct connection between student/family and community/school resources.
• The Behavioral Team will conduct home visits on Professional Development Days
</t>
  </si>
  <si>
    <t xml:space="preserve">DCPS' will ensure effective staffing practices by implementing the following strategies:
(1) Review and retain effective teachers that have the ability to be effective in a turnaround effort: All DCPS staff members will be evaluated by IMPACT, a rigorous, multi-measure evaluation system for the nearly 7,000 teachers, school leaders, and other school-based staff members in the district. 
(2) Develop a recruitment plan that screens out ineffective teachers from transferring into these schools: Through the IMPACT evaluation system, teachers will be separated after one year of performance at the Ineffective level. Minimally Effective teachers will be separated after two years, and Developing teachers will separated after three years. While DCPS is committed to providing meaningful professional development opportunities to help teachers improve, DCPS is also committed to ensuring that every DCPS student has an outstanding teacher.
(3) Ensure that all administrators in the school have the skills to effectively evaluate instruction and give quality feedback to teachers: DCPS’ school leader selection processes will prioritize instructional expertise as a key selection competency at each stage of the process. Successful principal and assistant principal candidates: 1) submit essays that describe their instructional contributions (as a teacher and/or as a leader); 2) watch an instructional video and answer a series of follow-up questions about the teacher’s instruction and their next steps to improve the teacher’s practice; and, 3) answer a series of behavioral questions about their instructional leadership with a panel of DCPS instructional experts. Additionally, once in their role, school leaders will have various opportunities to receive ongoing support to ensure a normed interpretation of DCPS’ Teaching and Learning Framework (TLF). 
(4) Develop an overall recruitment and retention plan for the principal and leadership team: Each year, the DCPS recruitment and selection team will outline a strategic plan for identifying and recruiting high quality principals and assistant principals to fill school leadership vacancies. 
To implement its Instruction Intervention Strategy, DCPS will ensure that:
• Priority schools implement Learning Cycles where a cohort of teachers is coached directly by the Instructional Coach in each building.  Learning Cycle coaching focuses on both instructional strategies, such as  in addition to individual coaching on Teaching and Learning Framework standards
• Priority schools utilize Collaborative Planning Time for school-wide staff professional development.
• Priority schools use the IMPACT system to review staff, taking into account data on student growth.  IMPACT encourages teachers to establish clear approaches to measuring student growth for individual students.  It also allows for annual evaluations of teachers and principals in a timely manner, with constructive feedback designed to have a direct, positive impact on instruction.  Evaluations provide teachers and principals with data on student learning in classrooms, allowing them to tweak instruction according to student need.
• Additionally, elementary Priority schools will receive ongoing District-provided professional development for Guided Reading instruction.
</t>
  </si>
  <si>
    <t>school-based support staff dedicated to priority interventions (Family Engagement)</t>
  </si>
  <si>
    <r>
      <rPr>
        <b/>
        <sz val="10"/>
        <color rgb="FFFF0000"/>
        <rFont val="Calibri"/>
        <family val="2"/>
      </rPr>
      <t>This strategy will not be funded through this grant opportunity</t>
    </r>
    <r>
      <rPr>
        <sz val="10"/>
        <rFont val="Calibri"/>
        <family val="2"/>
      </rPr>
      <t xml:space="preserve">. DCPS considers effective use of data a significant aspect of its Capital Committment to improve student achievement.  Implementation of ths strategy includes training school administrators, teachers, and leadership teams to incorporate the use of Paced Interim Assessments (PIA) that provides data on student academic growth. The strategy will allow teachers and administrators to consult regularly on teaching strategies and interventions and determine how students are progressing.  This strategy will be implemented as follows: 
 • All Priority schools, except for partnership schools (Anacostia SHS and Stanton ES) will implement the CCSS, and administer the DCPS Paced Interim Assessments (PIAs), which are administered five times per year, and aligned to the CCSS.  PIAs provide data around skill and knowledge deficiencies of students, allowing staff to adapt instruction in order to ensure student mastery of CCSS
• All Priority schools will hold data meetings with teachers on Professional Development days following each Paced Interim Assessment to identify areas of reteach
Further, in an effort to implement this strategy, DCPS will employ the following schema:
o Build capacity for school leaders focused on instructional leadership including the collection of data and feedback mechanisms for continually improving instruction;  
As part of the DCPS Academic Plan, beginning in school year 2011-2012, all Academic Leadership teams, including Principal, Instructional Coach and Teacher Lead, received year-long training and professional development in implementing the data cycle process of analysis and re-teach using the paced interim assessments.  Academic Leadership Teams have continued to implement the data cycle processes in their schools for the current school year.   School Leaders are also evaluated on the implementation of the use of data in their schools through the School Leader IMPACT evaluation process.
o Provide time for collaboration on the use of data to inform instruction; As outlined above, all DCPS Academic Leadership Teams utilize a portion of the DCPS Professional Development days to analyze paced interim assessment data and create revised instructional plans to address areas for student improvement.
o Use formative assessment design and data analysis to improve and differentiate instruction; All DCPS schools participate in five paced interim assessments that align to the DCPS Common Core scope and sequence in both math and English language arts over the course of the school year.
o Address other non-academic factors that impact student achievement, such as students’ social, emotional, and health needs by way of additional counseling, access to additional ancillary services, or other supports; Intervention strategies addressing this requirement are included as Family Engagement strategies in the Focus Schools’ improvement plans.
o Build capacity for all staff on the effective support of students with disabilities and ELLs and their families.  Intervention strategies relating to this requirement are included in varying degrees depending on the needs identified by the School Leader through the needs assessment process.
</t>
    </r>
  </si>
  <si>
    <t xml:space="preserve">Given NCLB flexibilty/ESEA waiver, DCPS is no longer mandated to offer choice transportation to students attending schools in need of improvement.  However, to ensure continuity for students, DCPS will provide transportation to those children who are currently attending a non-neighborhood school through the school choice initiative through the 2012-2013 school year.  While DCPS is not able to make multi-year budget commitments, we will continue to prioritize this expense as students progress through their current schools.  DCPS will acquire 3rd party contracted services for bus transportation ($815,000) and WMATA tokens and passes ($32,500) to support the existing 200+ students and families currently participating in the formerly mandated School Choice program.  Formerly, the CHOICE program has provided transportation to students whose parents made the decision to send them to better performing schools.  This has consistently been an aspect of DCPS' Title I program. </t>
  </si>
  <si>
    <t>Increases in salaries are as a result of fringe benefits and step increases .</t>
  </si>
  <si>
    <t>Teachet Trainer/Coach - provides direct support to schools for AMAO support</t>
  </si>
  <si>
    <t>Professional Development for Youth Service staff (Kellog).</t>
  </si>
  <si>
    <t>Desk top computers and text books</t>
  </si>
  <si>
    <t>Cluster 11/Administrative Premium/YSC</t>
  </si>
  <si>
    <t>Rosanna Demammos (00066809)</t>
  </si>
  <si>
    <t>Last year, DCPS expanded the use of language development software, Imagine Learning, into 12 schools that did not meet their AMAO targets. Imagine Learning software was developed for English language learners, and it creates an individualized plan for each ELL that covers the four language domains: listening, speaking, reading, and writing. The software will continue to be utilized in the 12 schools, and one additional school will be added for a total of 500 licenses. The Office of Bilingual Education will analyze the data from the Access for ELLs exam and the DC CAS to determine which students will benefit the most from this intervention at the 13 selected schools. Implementation will be closely monitored by OBE, and teachers will receive training in how to support the activities designed by the program.</t>
  </si>
  <si>
    <t>Library resources, dictionaries, supplementary educational materials, etc.</t>
  </si>
  <si>
    <t>Suppleis and materials to supplement language development programs</t>
  </si>
  <si>
    <t>ELL instructional materials</t>
  </si>
  <si>
    <t>Improving instruction of LEP students through instruction programs</t>
  </si>
  <si>
    <t>Professional Development - Graduate credit courses</t>
  </si>
  <si>
    <t>General education and classsroom teachers and counselors ELL topics</t>
  </si>
  <si>
    <t>Professional Development - Teachers attending conferences</t>
  </si>
  <si>
    <t>ELL Contracts  - Professional Development (Projects in Education)</t>
  </si>
  <si>
    <t>Professional development for teachers</t>
  </si>
  <si>
    <t>Ell Contracts  - Imagine Learning licenses/headphones</t>
  </si>
  <si>
    <t>Improving ELL instruction through technology</t>
  </si>
  <si>
    <t>ELL Contracts (translation and interpretation)</t>
  </si>
  <si>
    <t>To increase outreach to LCD families</t>
  </si>
  <si>
    <t>ELL Contracts - Afterschool Support/Teacher PD</t>
  </si>
  <si>
    <t xml:space="preserve">The Office of Bilingual Education will continue to provide interpretation services for PTA meetings and parent teacher conferences. OBE will produce a set of Guidelines to involving LCD parents in school activities.
The Office of Bilingual Education conducts orientation and training for ELL parents during the initial identification and placement process. OBE will work on developing a set of videos that can be shared during the initial orientation about the services for ELLsS. OBE will work together with Parent Resource Centers across the city and their staff to promote parental and community programs for LEP parents as specified in each school's Parental Involvement Plan.  Schools could receive funding for the following activities specified in their Parental Involvement Plan:
- Translations/interpretation services 
- Administrative Premium pay for teachers conducting sessions for parents lasting 2 or more hours.
- Materials for the training or presenters' fees.
- Training topics related to:  school involvement, AYP, NCLB, PTAs, standards, academic achievement, helping children achieve, and other topics requested by parents and/or schools
-Refreshments for parent meetings and transportation, when requested.
OBE will review parent surveys sent by the Chancellor's Office to understand the needs of the parents and guardians of ELLs and to improve parental satisfaction with the programs at  the local schools. Community meetings will be scheduled with the Chancellor and other DCPS offices for parents to ask questions related to the education of their children, OBE will provide interpretation services for these meetings.   OBE will continue to provide training to principals, clerical staff, teachers, and counselors on how to use the Language Line services to communicate with ELL families in their native language 24 hours  a day, seven days a week. 
OBE will support community organizations that provide support for ELL parental involvement in the school community.
</t>
  </si>
  <si>
    <t>Funding for teachers working in Afterschool activities - Tutorials</t>
  </si>
  <si>
    <t>Materials for families engaged in trainings and workshops</t>
  </si>
  <si>
    <t>Educational material for Non-public schools</t>
  </si>
  <si>
    <t>Materials for Equitable Services</t>
  </si>
  <si>
    <t>OYE/Winston Jr., Jesse Alfred (00076789)</t>
  </si>
  <si>
    <t>OYE/ Middlebrooks, Valerie (00076790)</t>
  </si>
  <si>
    <t>OYE/ Irvin, Thandiwe (00076791)</t>
  </si>
  <si>
    <t>OYE/ Gordon, T. Nicole (00076792)</t>
  </si>
  <si>
    <t>OYE/ Rivers, Jonathan (00076793)</t>
  </si>
  <si>
    <t>OYE/ VACANCY</t>
  </si>
  <si>
    <t>OST/Chapman, John (70717)</t>
  </si>
  <si>
    <t xml:space="preserve">DCPS has identified 462 homeless students who are currently enrolled in non-Title I schools.  DCPS will provide support services that include but will not be limited to the following:                                                                                                                                                                                                                                                                                               
1) Salary  and benefits for a Homeless Program Coordinator ($84,625.00)
2) Family Assistance Program:
    o Providing training to parents of homeless students - Services will be contracted to host two training opportunities for parents; funding for these sessions will include educational supplies, refreshments and logistics ($10,000).
    o Providing school uniforms and emergency clothing assistance for approximately 200 homeless students  not to exceed $100.00 per student ($20,000)
    o Providing support for school supplies for 200 homeless students at the average cost of $50.00 per student  ($10,000)
    o Funding graduation fees for approximately 50 graduating students at an average cost of $180.00 per student ($9,000)
3) Providing professional development opportunities for school-based liaisons to ensure the elimination of  barriers to enrollment for families who happen to be homeless as follows: a) DCPS will cover registration and conference expenses for the locally held NCEH Conference for 10 homeless liaisons at approximately $550.00  per liaison ($5,500); b) DCPS will also host a training opportunity for approximately 100 homeless liaisons via contracted services ($7,500).  
4) Providing professional development opportunities for the Homeless Children and Youth Program central office staff: two members to attend the NCEH annual conference in DC @ approximately $550 each as well as the  conference registration and travel for four members to attend the NAEHCY annual conference @ $2,000 each ($9,100)
5) Covering the cost of outreach and advertisement for the homeless program.  DCPS will contract with a provider to supply brochures, homeless rights posters and other promotional materials.  Costs for printing and translations is estimated at $10,500.00 </t>
  </si>
  <si>
    <t>OYE/Homeless - School-bases Homeless Liasons PD</t>
  </si>
  <si>
    <t>One training session for approx. 100 HLs at a rented facility.</t>
  </si>
  <si>
    <t>Local training expenses, travel and conference costs (NCEH Conference for 10 HLs @$550 each)</t>
  </si>
  <si>
    <r>
      <t xml:space="preserve">The Office of Family and Public Engagement (OFPE), in partnership with schools and local community-based organizations, will support parental activities and programs that strengthen the partnership between home and school, increase at-home learning, support healthy living, advocate for students, develop parent leaders, and provide experiential learning opportunities.  OFPE has identified three core strategies for parent  engagement:                                                                                                                                                                                                                                                                                                             (1) Create a welcoming and engaging climate with strong relationships and communications between families and school staff
(2) Partner with families to support student achievement
(3) Engage families and community partners in school success
Parent involvement programs and activities will include but are not limited to books, food, educational resources, equipment, interpretation, translation, transportation, child care, supplies, equipment, and postage/mailings.  The 1% reservation is allocated in three ways:  1) Administrative (5% OFPE) = $26,271.57, 2) DC Public Schools (both Schoolwide and Targeted Assistance) = $235,786.57, and 3) Private Schools = $7997.96, for a total of </t>
    </r>
    <r>
      <rPr>
        <sz val="10"/>
        <color theme="1" tint="0.14999847407452621"/>
        <rFont val="Calibri"/>
        <family val="2"/>
      </rPr>
      <t>$270,056.10.</t>
    </r>
  </si>
  <si>
    <t>OFPG/Equitable Services - 3rd party vendor for non-public school instruction (Direct Services to Students)</t>
  </si>
  <si>
    <r>
      <t xml:space="preserve">DCPS experiences a significantly high truancy and dropout rate among high school students.  This phenomon results in a n extremely low high school graduation rate.  Among four of our high schools the average graduation rate was 56.25% in school year 2010-2011.  Indicators suggest that social and emotional factors impede students' enthusiam to attend school.  Hence, the LEA has determined that a support system that addresses these concerns is critical if student will be encouraged to participate in  formal learning opportunities . 
In electing to address non-academic factors that impact student achievement, Priority schools will work with attendance and intervention specialists in the Office of Youth Engagement to analyze data around attendance and discipline, and to provide guidance as to strategic improvements in attendance support to ensure students attend school.   OYE also provides support as it relates to student behavior, using the Student Behavior Tracker (SBT) to determine the schools that have challenges as they relate to student behavior. 
• All Priority schools will also implement Student Support Teams to coordinate support for at-risk students
• The Students Forward Model, at Kelly Miller MS, Kramer MS, and Johnson MS, targets emotional and behavioral supports for students to ensure that they have the tools needed to be successful in the classroom . 
</t>
    </r>
    <r>
      <rPr>
        <sz val="10"/>
        <color rgb="FFFF0000"/>
        <rFont val="Calibri"/>
        <family val="2"/>
      </rPr>
      <t xml:space="preserve"> </t>
    </r>
    <r>
      <rPr>
        <sz val="10"/>
        <color theme="1" tint="0.14999847407452621"/>
        <rFont val="Calibri"/>
        <family val="2"/>
      </rPr>
      <t xml:space="preserve">Additionally,  DCPS will hire social workers who will focus on truancy intervention at four high schools that are also  priority schools with chronically high truancy rates. These workers will be distributed as follows: one at Anacostia HS, one at Dunbar HS,  two at  Roosevelt HS, and two at Spingarn HS.   At these particular schools, there is an acute truancy concern, therefore DCPS' strategy will be to provide social workers who will work directly with the student population on non-academic factors that support learning.  Specifically, the social workers will support the work of teachers in that they will provide interventions to students' social issues that are stumbbling blocks to learning so that they can better focus on academics. 
</t>
    </r>
    <r>
      <rPr>
        <sz val="10"/>
        <rFont val="Calibri"/>
        <family val="2"/>
      </rPr>
      <t xml:space="preserve">
</t>
    </r>
  </si>
  <si>
    <r>
      <t xml:space="preserve">As part of their comprehensive school plans, principals outline how they will engage families in their students’ education.  They define their annual Family Engagement Plan which details specific family engagement strategies.  The strategies primarily address how they will engage families to improve reading performance, math performance, and the overall improvement of the school culture.  The Family and Community Engagement staff will  ensure these measures are taken by maintaining strict oversight of what the individual school plans outline.  Instructional Superintendents will be tasked to monitor effectiveness of these interventions as they perform their supervisory roles.
Specifically, Priority schools will provide student reports to parents following each paced assessment that highlights each student’s academic strengths and weaknesses and tips for parents in working with their child.  These reports are designed for students in tested grades (2-10).  Priority schools use Local School Restructuring Teams to work to implement initiatives that motivate parents to engage in school activities and most  will also hold regular family nights at the school designed to support parents in identifying skill-building strategies for academic achievement. One priority school (Amidon Bowen) will add an additional staff person, </t>
    </r>
    <r>
      <rPr>
        <b/>
        <u/>
        <sz val="10"/>
        <rFont val="Calibri"/>
        <family val="2"/>
      </rPr>
      <t>(the Coordinator, Special Programs),</t>
    </r>
    <r>
      <rPr>
        <sz val="10"/>
        <rFont val="Calibri"/>
        <family val="2"/>
      </rPr>
      <t xml:space="preserve"> to develop a parent and volunteer outreach program to help it's surrounding  community become more involved in the school’s overall  improvement.</t>
    </r>
  </si>
  <si>
    <t>OFPE/Refreshments for public parent forums (district-wide)</t>
  </si>
  <si>
    <t>OFPE/Office Supplies  and materials  for public parent forums (district-wide)</t>
  </si>
  <si>
    <t>Wilson HS will contract a 3rd party partner to provide a program using technology that will assess, plan, and deliver a focused instruction for its targeted students in reading and math, as well as  training and resounrces that will enable their instructional staff to personalize practice lessons, differentiate instruction, monitor progress and make data-driven decisions that guide each students to success. ($277,913.83)
Watkins ES will contract a 3rd party to provide culturally and personally relevant activities designed to engage their students in problem solving, academic discourse and critical analysis; professional development that will support their teachers with classroom management, differentiating instruction  and assessment options designed to measure  student's progress and inform teaching.  ($100,990)
Maury ES will  contract a 3rd party to acquire an instructional program that builds early literacy skills at grades K-2 by emphasizes emphasizing  direct instruction and repeated practice in phonological awareness and letter knowledge and for their strugggling readers in grades 3-5, an instructional program that assess where students are, creates a plan for each student to increase his or her reading level by providing instruction that starts at their area of need (phonemic awareness and phonics, fluency and comprehension) moves the students through to mastery.  ($69,114.59)
Ellington School of the Arts' will expand their offering of remedial instruction in math and reading through acquistion of supplemental text, supplies and technology as well as providing individualized tutoring via its communtity partnerships during before, after and  Saturday school sessions.  ($112,900)</t>
  </si>
  <si>
    <t>OBE/Translations</t>
  </si>
  <si>
    <t xml:space="preserve">DCPS has committed that our #2 Goal is that by 2017, our lowest performing schools will increase proficiency rates by 40 percentage points.  To support this Goal, DCPS plans to  provide our lowest performing schools intensive and specialized levels of support and guidance at the cluster level, by allocating $976,701 in salary and benefits for five Cluster Specialist postions,one program specialist,and two Instructional Superintendents. The Cluster Specialists will  partner with Principals and Instructional Superintendents to proactively identify schools in danger of not meeting improvement targets and collaboratively conduct in-depth school needs assessments. They work with and on behalf of their respective low-performing schools to ensure quality implementation, develop systems of support as determined by their needs, collaborate with central office supports to monitor partnerships and program elements and to ensure schools meet their respective implementation and performance targets. The program specialist will manage the initiatives that the Ofice of School Turnaround implements.  Their roles include managing initiative budgets, monitoring initiatives while supporting cluster specialists, conducting regular chec-ins to ensure initiatives succeed at schools, and ensuring appropriate use of resources.  The instructional superintendents provide instructional direction to all cluster schools.  They provide oversight over initiatives and work closely with school administrators to ensure students are provided with the best opportunities to improve.
</t>
  </si>
  <si>
    <r>
      <t xml:space="preserve">In an attempt to fulfill its Capital Commitment goals, DCPS recognizes the value of maximizing the value of each minute of instructional time and would implement this strategy to ensure that students are given ample time to engage in the classroom.  Therefore, teachers will be urged to implement procedures and routines that run smoothly as students focus on learning rather than distractions, interruptions, and off-task behaviors.  Classrooms will be monitored to ensure time is used effectively.  Evidence of effectiveness will result in improved student scores along with examples of the following classroom operations:
• Routines and procedures will run smoothly with little prompting from the teacher
• Students will be fully engaged with very brief periods of idle time
• Teachers will spend appropriate amount of time on each lesson segment
• Lessons will progress at a quick pace so that students are fully engaged
• The flow of lessons will be enhanced by students on-task behaviors
Priority schools will utilize these set-aside  funds to extend the school day to provide supplemental instruction in reading and mathematics that build upon the scope and sequence and unit overviews for Common Core standards in English Language Arts and Mathematics, cultural enrichment, and character development. While some schools will implement increased instructional time during the day, others will implement an afterschool program.  To ensure high student engagement, priority schools will partner with community-based organizations and complement these instructional extensions to learning day with activities that,  include but are not limited to enrichment, foreign language exposure, arts immersion, and project-based learning. At schools implementing increased instructional time during the school day, teachers will increase their teaching time during the school day by approximately 15 minutes as they use more efficient routines and teaching procedures. The strategy will focus students so that they are more actively engaged in work that is rigorous and meaningful throughout the instructional time. By implementing this strategy, students will be exposed to approximately 45 hours of instructional time in each targeted subject area. 
Schools implementing increased instruction time are: Simon, CW Harris, Nalle, Tyler, Malcolm X, Garfield, Orr, and Dunbar.  Those implementing afterschool programs are: Amidon-Bowen, Brown, Dunbar, Garfield, Kelly-Miller, LaSalle-Backus, Malcolm X, Moten@Wilkinson, Prospect, Savoy, Ballou, Nalle, and Tyler.
For our students in the ELL population, the programs in place at several of our schools are needed in order to improve English language proficiency and thereby, increasing students’ access to information.  Through cultural enrichment activities in the Arts, field trips, research, etc., schools seek to increase students’ exposure and better develop the whole student. In keeping with the system’s  Capital Commitment to ensure that 90% of students  report that they “like” school, there must be attention paid to the social development of children in addition to the academic needs.
</t>
    </r>
    <r>
      <rPr>
        <sz val="10"/>
        <color rgb="FFFF0000"/>
        <rFont val="Calibri"/>
        <family val="2"/>
      </rPr>
      <t xml:space="preserve">
Extended day is designed to allow additional work/learning time for students so  that they cover more material during the traditional school day than they previously did. This is an extention of the scheduled school day rather than an opportunity to tutor students.  To accommodate this extension, security at both Priority and Focus schools will be needed. Therefore, additional resources are budgeted to provide for this service (see Tab 9, Ln 277 -  278).</t>
    </r>
    <r>
      <rPr>
        <sz val="10"/>
        <rFont val="Calibri"/>
        <family val="2"/>
      </rPr>
      <t xml:space="preserve">
</t>
    </r>
  </si>
  <si>
    <t>DCPS will provide equitable instructional and parental involvement services to District of Columbia resident students attending private schools. The DCPS Equitable Services unit renders services to eligible students, their families, and teachers through federally funded programs. Funds reserved under Title I, Part A for Equitable Services are intended to cover all costs incurred to administer/manage instructional programs for resident students in grades K through 12 who are at risk of failing in the core subject areas of math and reading. Funds are also utilized to provide educational support services to parents to enable them to support their children’s increased academic achievement. DCPS contracted with Learn It Systems as the third party provider to render the instructional/parental involvement services to this population. And, for professional development services to students' classroom teachers, DCPS contracted with Teachscape as the third party provider.
The reservation is equal to the total Private School per pupil allocation of $1,882,640.13 for direct services to students. This allocation is proportioned as follows: Direct Services to students - $1,441,986.63, Professional Development - $42,090.53, and $398,563.00 for administration, management of contracts and evaluation services.</t>
  </si>
  <si>
    <r>
      <t>DCPS has committed that our #1 Goal is that at least 70% of our students will be proficient in reading and math and  the number of advanced students will double by 2017. To support this Goal, DCPS plans to allocate an additional</t>
    </r>
    <r>
      <rPr>
        <b/>
        <sz val="11"/>
        <rFont val="Calibri"/>
        <family val="2"/>
      </rPr>
      <t xml:space="preserve"> $135,247.02</t>
    </r>
    <r>
      <rPr>
        <sz val="11"/>
        <rFont val="Calibri"/>
        <family val="2"/>
      </rPr>
      <t xml:space="preserve"> in salary and benefits for two new positions in the Chief Academic Office: Literacy Coordinator (position 70258) and STEM Learning Design Manager (position 67698).
</t>
    </r>
    <r>
      <rPr>
        <b/>
        <sz val="11"/>
        <rFont val="Calibri"/>
        <family val="2"/>
      </rPr>
      <t>Responsibilities of the Literacy Coordinator:</t>
    </r>
    <r>
      <rPr>
        <sz val="11"/>
        <rFont val="Calibri"/>
        <family val="2"/>
      </rPr>
      <t xml:space="preserve">
• Coordinates and implements several projects, or components of a larger project within Literacy and Humanities. Key projects to coordinate may include: 
o Support schools in implementing reading assessments and interventions 
o Support design of materials for professional development on reading, English Language Arts, and Interventions 
o Support development of curricular resources 
o Review of district-wide ELA assessments and related data analysis 
• Creates detailed timelines for each initiative; assesses and tracks project progress regularly using various computer programs and tools; drives project completion holding others accountable for responsibilities and deadlines. 
• Coordinates with vendors on product needs and enhancements and training activities and sessions 
• Develops, organizes and conducts professional development at school sites and centrally to train staff on use of tools and materials 
• Updates and maintains web portals 
• Schedules and coordinates program-related meetings, conferences, appointments and logistics 
• Identifies obstacles and determines best DCPS staff to resolve, tracks and follows up until issue is resolved 
• Coordinates and follows up on logistics of staffing and funding projects, working with HR, budget, and procurement 
• Builds relationships and liaises with various internal departments to drive collaboration and project success 
• Interacts with and responds effectively to urgent requests from multiple internal and external DCPS stakeholders 
• Refines and improves project management process; identifies patterns/trends in issues across multiple projects and develops longer-term, systematic solutions to address the 
• Stays closely aware of progress of projects, high-level initiatives, and emerging issues across DCPS organization and informs the Director of developments that impact or change the direction of programmatic priorities 
• Supports and carries out the Chancellor's mission to transform DC Public Schools and close the achievement gap 
• Performs other related duties as assigned 
</t>
    </r>
    <r>
      <rPr>
        <b/>
        <sz val="11"/>
        <rFont val="Calibri"/>
        <family val="2"/>
      </rPr>
      <t>Responsibilities of the STEM Learning Design Manager
•</t>
    </r>
    <r>
      <rPr>
        <sz val="11"/>
        <rFont val="Calibri"/>
        <family val="2"/>
      </rPr>
      <t xml:space="preserve"> Manages the implementation and support of a shared vision and strategic plan for PS-12
STEM education across DCPS, coordinates and directs the work of staff based on volume, priorities and strategic context 
• Manages and/or provides subject matter expertise and technical assistance to all programs related to that vision, including developing department strategy and clear, specific, and ambitious performance measures for related priorities 
• Leads the implementation of the Common Core State Standards for Mathematics initiative, providing expertise in all areas of mathematics curriculum and professional development across grades K-12 
• Leads the professional development planning for science and mathematics to support and align with the overall DCPS Academic Plan and the Common Core State Standards for both literacy and mathematics 
• Leads the implementation of program strategy; assesses and tracks the progress of multiple programs within larger strategic context; drives project completion, holding others accountable for responsibilities and deadlines; intervenes where necessary to resolve complex obstacles to success 
• Drives the gathering and analysis of data for internal and external reporting; evaluates, on quantitative and qualitative basis, effectiveness of programs and special projects towards meeting established goals and objectives 
• Identifies and systematizes successful operational and project management methods across the department; develops and implements annual department budget and allocation of staff and resources 
• Assesses department's programmatic talent needs and implements hiring, training/professional development strategies, and organizational design appropriately; guides and coaches direct reports and other team members; keeps department staff informed of internal and external developments affecting their areas of responsibility 
• Identifies resource needs for STEM initiatives and secures and manages grant opportunities and partnerships to attain various program goals 
• Provides subject matter expertise and project management to the design and execution of STEM programming at the various schools in the district who have adopted a full-school STEM model; provides guidance and expertise to schools wishing to integrate STEM into their overall instructional models 
• Maximizes the presence and impact of DCPS STEM initiatives by engaging with the external STEM community to identify, implement, and assess research-based national and international best practices 
• Manages the DCPS STEM advisory board (established in March 2012)to inform and support the district's STEM efforts, ensuring student preparation for college and career success 
• Builds and facilitates a community engagement process that will establish support for STEM programs and initiatives from families and school neighborhoods as well as area industry partners, institutions of higher education, non-profit groups, governmental agencies, and professional societies 
• Builds senior-level relationships across internal departments and Offices to drive collaboration and project success; makes strategic recommendations to senior management to integrate 21st century skills and to introduce STEM content and careers to all students 
• Keeps informed about innovations, developments in policy, and research and advises DCPS senior management team on proposed legislation, policies, and procedures affecting the specific department and projects assigned 
• Supports and carries out the Chancellor's mission to transform DC Public Schools and close the achievement gap 
• Performs other related duties as assigned </t>
    </r>
    <r>
      <rPr>
        <b/>
        <sz val="11"/>
        <rFont val="Calibri"/>
        <family val="2"/>
      </rPr>
      <t xml:space="preserve">
</t>
    </r>
  </si>
  <si>
    <t>Supplies for parent training to include videos</t>
  </si>
  <si>
    <t>Refreshment for parent training</t>
  </si>
  <si>
    <t>For families engaged in training and workshops.</t>
  </si>
  <si>
    <t>Conferences including registration, membership, per diem, materials, etc.</t>
  </si>
  <si>
    <t>Funding for teacher cohorts and professional development</t>
  </si>
  <si>
    <t>Funding in tutorials for teachers working in afterschool programs as tutors</t>
  </si>
  <si>
    <t xml:space="preserve">OBE will provide funding to community-based organizations that provide tutorial services to ELLs after school.  OBE will evaluate the effectiveness of the funded tutorial programs that serve ELLs.  OBE staff will help coordinate the services offered by the Georgetown University DC Project and the Latin American Youth Center (LAYC) to ensure that ELLs are receiving tutorial services and to monitor the degree that the services are improving the students' language acquisition and academic achievement. In collaboration with the DCPS afterschool programs, OBE will examine appropriate extended day curricula and extend funds to include contracts for outside organizations that work specifically with ELLs or make available funds for Administrative Premium Pay for certified ELL teachers to support ELLs in tutoring programs or targeted summer academic support programs for ELLs. Supplemental materials will be purchased to align with this activity/service.
$25,000 in funding will go to local community based organizations. Latin American Youth Center will receive $10,000. Vietnamese Community Center will receive $5,000. Asian American Pacific Lead will receive $5,000. Teaching for Change will receive $5,000. The Administrative Premium for tutors in afterschool programs will cost $4,000. </t>
  </si>
  <si>
    <t>Funding is for teachers in Necomer Program</t>
  </si>
  <si>
    <t xml:space="preserve">OBE will support the development of a Newcomer Program  to better serve the needs of newcomer students with limited prior schooling. Funding will be used to develop the newcomer program, provide training and materials needed. OBE will also create 6wo courses for secondary ELLs that focus specifically on the development of academic vocabulary and the practice and use of academic vocabulary as defined by the WIDA Standards for English Language Proficiency.  Funding will help provide supplemental materials for these two new courses.  the new coursework will be accompanied by training for secondary ELL teachers from the ELL Trainer in methods of vocabulary development for secondary students. 
Funding is appropriated as follows: $21,000.52 is for materials and $8,000 is for administrative premium for teachers for the Newcomer Program. 
</t>
  </si>
  <si>
    <t xml:space="preserve">All day College Fair refreshments and meals </t>
  </si>
  <si>
    <t xml:space="preserve">This will provide meals to students and parents at the all-day college fair. </t>
  </si>
  <si>
    <t>Transpotation for all-day College Fair</t>
  </si>
  <si>
    <t>Registration Process Training</t>
  </si>
  <si>
    <t>This training is for school registrars and other school personnel.</t>
  </si>
  <si>
    <t>Printing services for all-day College Fair at CHEC</t>
  </si>
  <si>
    <t>This includes booklets, fliers, etc.</t>
  </si>
  <si>
    <t>ELL Contracts - Translation for family activities, community participation/parent outreach</t>
  </si>
  <si>
    <t>Translation for community participation and training activities, tutorials for ELLs</t>
  </si>
  <si>
    <t>This will transport students from Cardozo, Coolidge, Roosevelt, and Wilson</t>
  </si>
  <si>
    <t xml:space="preserve"> Priority schools will utilize DCPS curricula resources (scope and sequence, unit overviews, teacher portal) that are all CCSS aligned. Using the PIA assessment cycle as a benchmark for tested standard competence, school leaders will ensure that teacher planning supports standards students must understand in order to perform on standardized assessments. School leaders will provide regular feedback to teachers and PD/coaching support to ensure teachers maximize instructional time. All Priority high schools will be implement credit recovery courses for students who are unsuccessful in their first attempt to complete a course.
Priority schools will use intervention software (read 180, study island, etc…) intense tutoring (City Year, Reading Partners, etc…) and data from formative assessments to drive targeted student achievement growth. Each school will create an intervention support model as part of the priority school improvement plan to ensure growth for students severely behind in ELA and Math.
The instructional program will utilize technology resources such as Brain Pop, Reading A-Z, SMART Notebook software and FAST Math RTI.  Students will use these tools to build reading stamina, improve math automaticity and build background knowledge on curriculum content.  Core novel sets and Fountas &amp; Pinnell Reading Kits will expose students to more critical text and give upper-grade teachers an assessment tool to help them monitor student progress on reading levels on an on-going basis. Programming will support standards-driven, non-fiction reading, writing and critical thinking.  Overall, research-based reading and math programs and technology will be integrated into instruction, resulting in increased engagement and achievement for all students. ($382,093.55)      
</t>
  </si>
  <si>
    <t>Applied the proposed unrestricted  rate to the 10% Administrative Set-Aside</t>
  </si>
  <si>
    <t xml:space="preserve">Focus Schools Include: Ballou HS, Davis ES, H.D. Cooke ES, Kenilworth ES, Nalle ES, Orr ES, Patterson ES, Ron Brown MS, Turner ES and Tyler ES.  To meet the learning needs of students in these schools, DCPS will implement the extended time strategy.  Primarily, teachers will add at least 15 minutes to each school day thereby extending to overall school year by 45 hours.
All of the above Focus Schools were placed in Focus status for the following subgroups’ performance: African American, Hispanic and Economically Disadvantaged.  For most of these schools, the intervention strategies implemented are school-wide strategies as the majority of each school’s population represents the subgroup for which the school was placed into Focus status.                                                                                                                                                                                                                                                                                                                                                                                                                                                                                
                                                                                                                                                                                                                                                                                                                                                                                                                                                                                                                                                            Focus schools will utilize grant funds to lengthen the school day and the implementation of: supplemental instruction in reading and mathematics, cultural enrichment, and character development.  Additionally, research-based reading and math programs and technology will be integrated into instruction, resulting in increased engagement and achievement for all students. One Focus school (H.D. Cooke) will develop a website that provides effective and academically-focused information that staff and parents can access and share as a means to increase parental awareness of and participation in improving student achievement. Through external partners, Focus schools will offer onsite professional development, teacher coaching and provide developmental materials to ensure teachers are implementing programs correctly and delivering instruction at the optimal level. These partners may include, but are not limited to Turnaround for Children, City Year, Asia Society, Kid Power, and Reading Partners.  
Funds to support this strategy is $1,169,127. 
To implement these strategies, schools will operate on an Extended day schedule. This is designed to allow additional work/learning time for students so  that they cover more material during the traditional school day than they previously did. This is an extention of the regular school day rather than an opportunity to tutor students.  To accommodate this extension, security at both Priority and Focus schools will be needed. Therefore, additional resources are budgeted to provide for this service (see Tab 9, Ln 277 -  278).
                                                                                                                                                                                                                                                                                                        </t>
  </si>
  <si>
    <t xml:space="preserve">Out-of-Town travel and training : Professional Development  </t>
  </si>
  <si>
    <t xml:space="preserve">On-line licenses for educational programming - NOVA-NET. </t>
  </si>
  <si>
    <t>On-line licenses for educational programming - Rosetta Stone</t>
  </si>
  <si>
    <t>Training - RIZE-UP</t>
  </si>
  <si>
    <t>On-line licenses for educational programming - CYBERSITTER</t>
  </si>
  <si>
    <t>Testing Materials</t>
  </si>
  <si>
    <t>Services provided to parents</t>
  </si>
  <si>
    <t>ESL Materials</t>
  </si>
  <si>
    <t>Supplies and materials for Curricula and Assessments</t>
  </si>
  <si>
    <t>Latin American Youth Center (LAYC) - Community-based organization</t>
  </si>
  <si>
    <t>Tutoring program</t>
  </si>
  <si>
    <t>Vietnamise Community Center - Community-based organization</t>
  </si>
  <si>
    <t>Asian American Pacific Lead - Community-based organization</t>
  </si>
  <si>
    <t>Teaching for Change - Community-based organization</t>
  </si>
  <si>
    <t>Remedial/tutoring intervention for targeted students at Ellington (Reimbursement to school)</t>
  </si>
  <si>
    <t xml:space="preserve">OBE will provide courses for teachers on integrating the WIDA ELP Standards, the Common Core State Standards, and the DCPS Teaching and Learning Framework to plan instruction and to make content more comprehensible for LEP students. 
OBE will continue to sponsor general education teachers and bilingual/ESL teachers to take 3-credit-hour classes from Catholic and Trinity University on topics related to educating ELLs. We will continue training new ESL teachers and general education teachers in the use of the WIDA English Language Proficiency (ELP) Standards and in effective practices of literacy instruction for ELLs ($20,922.35).
OBE will offer courses on SIOP and SDAIE, which are research-based instructional models for improving the academic achievement and English language proficiency of ELLs.  OBE will sponsor graduate courses for a cohort of secondary content teachers in schools with ELLs to earn an endorsement in ESL in order to shelter content appropriately. OBE will sponsor graduate courses for a cohort of general education teachers in schools with bilingual programs to earn an endorsement in ESL in order to shelter English appropriately. Funding will be available for counselors to take a 3-graduate-credit class on issues related to multicultural counseling ($23,000). 
OBE will continue to offer professional development opportunities to teachers in different cohorts, such as the Bilingual Education Cohort, and through after-school training opportunities.  The Office of Bilingual Education will allocate funding for school-wide training requested by schools. This year, we anticipate that schools with large numbers of ELLs will request whole-school trainings on aligning the WIDA Standards to the Common Core State Standards. This will include opportunities for traveling and training at selected conferences ($17,077.65).
OBE will work with the Office of Special Education and will use Title III funding if needed to support English as a Second Language teachers who serve ELLs with special needs to take graduate coursework in special education. 
</t>
  </si>
  <si>
    <r>
      <t xml:space="preserve">Currently, DCPS serves more than 1,000 ELL students in dual language (DL) programs. As we set forth to improve the quality and sustainability of this program, Title III funds will be used to ensure high-quality implementation of our research-based models by: 1) acquiring and implementing an assessment tool selected by teachers such as EDEL, a Spanish assessment that will provide data on Spanish language acquisition for ELL students in DL programs and track language growth, 2) providing appropriate materials for Spanish language development, and 3) implementing the Spanish language arts guidelines aligned with the ELA standards and the common core.  
DCPS serves the over 3,000 ELL students in content-based ESL programs and/or sheltered classes. Based on teacher surveys, there is a high need to order supplemental materials, other than the textbooks provided by the district, to support second language acquisition. These include supplemental books, magazines, dictionaries, leveled-libraries, and language proficiency benchmarking measures.   Administrative premium pay will support several initiatives that relate to identifying and upgrading curricula, including individual school training on second language acquisition or a particular model, lead teacher trainings, and various teacher cohort meetings such as the Developing Writing Prompts Teacher Cohort.
Breakdown is as follows:
</t>
    </r>
    <r>
      <rPr>
        <b/>
        <sz val="11"/>
        <color theme="1" tint="0.249977111117893"/>
        <rFont val="Calibri"/>
        <family val="2"/>
      </rPr>
      <t>Admin premium - $10,000.00</t>
    </r>
    <r>
      <rPr>
        <sz val="11"/>
        <rFont val="Calibri"/>
        <family val="2"/>
      </rPr>
      <t xml:space="preserve">
Materials - $16,000.00 &amp; $17,817.65 for ESL ($33,817.35)
</t>
    </r>
  </si>
  <si>
    <t xml:space="preserve">Using Title III funds, an ELL Teacher Trainer/Coach will be hired to design and implement training for teachers of ELLs ($100,000.00).  OBE will also provide administrative premium for teachers who provide Afterschool services ($3950.00) 
The Office of Bilingual Education provides targeted professional development and technical assistance to schools that do not meet their individual AMAO targets in an effort to support and guide schools on how to effectively meet the targets. OBE will continue to provide training and technical support to all schools that serve ELLs to maintain their progress in academic achievement and English language proficiency.  Our new ELL teachers and teachers  in schools which did not meet AMAO targets will receive targeted on-site support and professional development in practices proven to increase the academic achievement and English language proficiency of ELLs. In addition, DCPS will continue to provide supplemental materials, using Title III funding, to support the English language development and academic achievement of English language learners. 
Currently, more than 900 ELLs are served in DCPS secondary programs. With the addition of the ELL Trainer, OBE will be able to provide more intensive programming support, professional development, and supplemental materials to improve the efficacy of the language development and academic support program in DCPS secondary schools serving ELLs. The ELL Trainer will focus her energies on ensuring that the Language Acquisition Program created by each secondary school is supported and implemented.  OBE will continue to support the implementation of the "Pathway to Graduation" guidelines that provide ELL students at the high school level with appropriate schedules that will put them on the pathway to graduation.  During SY 11/12, high schools that serve large numbers of ELLs will receive technical support from the ELL trainer and supplemental materials to ensure that they use a high-quality, research-based language instruction program designed to meet the needs of their ELLs. OBE will also offer professional development on the WIDA standards, Specially Designed Academic Instruction in English, and the Sheltering Instruction Observation Protocol.  
OBE will also continue to work with the Office of Special Education to work towards better coordinating services to ELLs with IEPs. 
</t>
  </si>
  <si>
    <t>School personnel compensation for GED classes</t>
  </si>
  <si>
    <t>Instructor/Tutor</t>
  </si>
  <si>
    <t>Cluster 11/Administrative Premium/IYC</t>
  </si>
  <si>
    <t>Computers - Laptops</t>
  </si>
  <si>
    <t>Online services - GRADPOINT-PEARSON NOVA NET</t>
  </si>
  <si>
    <t>Professional Dev costs  for travel, registration, workshops and other training needs</t>
  </si>
  <si>
    <t xml:space="preserve">Services to provide sufficient accessible for parents during and after school.   
</t>
  </si>
  <si>
    <t xml:space="preserve">DCPS has elected to use the Neglected &amp; Delinquent reservation funds to support educational opportunities for students living at Incarcerated Youth Program (IYP) and Youth Services Center (YSC), DCPS’ two programs for incarcerated youth.  Specifically, funds will be allocated to support after-school and summer programming that focuses on reading and math interventions.   Teachers and other staff members at IYP and YSC will receive targeted professional development to increase their capacity to serve the incarcerated population effectively. 
For IYP, the funds will be used as follows:  $13,581.61 - Admin Premium ; $13,459.94 -Professional Development; $11,690.94 -  Supplies and materials; $5,848.39 - Computers (Laptops); $13,880.00 - Contract services for GRADPOINT; and $200.00 - Telecommunication services for parent accessibility.
For YSC, the funds will be used as follows:
• Procure contractual services for staff professional development- $10,000.00 Kellog Center; $4840.12 out-of-town training)
• Educational Supplies ($1000.00)
• Tutor for GED classes ($6,240.00)
• Purchase On-line licenses from selected vendors that include Rize-Up - $12,500; NOVA-Net - $17,183, Rosetta Stone - $5,450; and Cybersitter  - $1,275.
• Purchase of desk top computers and text books ($16,192)
• Administrative premium for teachers to provide after-school instruction to students (primary focus on reading and math interventions for students who test below proficient).
• Testing Materials ($3,000).
• Support services for parental involvement ($1,000).
• Funding for summer programming at both IYP and YSC – support for instructional services, materials, student support services such as counseling, transition, etc.
• Contractual services to provide career readiness training and resources  </t>
  </si>
  <si>
    <t xml:space="preserve">In accordance with section 9501 of ESEA, Teachscape, the third party vendor, will engage educators in professional development opportunities that are hands-on and interactive.   Teachers will also be paid stipends for attending professional development activities held outside their contracted working hours. The workshops will address requisite teaching and/or academic skills educators need to improve instructional delivery and student achievement.  Additionally, teachers will pursue areas of study that will lead to certifications in specialized education fields, high-quality teaching, and increased subject-area content knowledge.
Costs estimates are as follows:
- Third-party professional development provider: $286,249.28
- Contract administration: $50,000.00
-  Stipends for teachers: $10,000.00
-  Teacher certification - graduate courses, workshops, etc.: $724,190.52 </t>
  </si>
  <si>
    <t>DCPS will continue to provide on-the-ground support for teachers and other staff in a non-evaluative capacity. Consistent coach support is provided to teachers immediately and “as needed,” rather than on predetermined dates. Schools and teachers have different goals and needs; so school-based coaches collaborate with their Instructional Specialist to build strategies, resources and tools that enable them, to provide individualized teacher support at the school level. 
Content Specialists address professional development needs, specific to a given content area, that cannot be met through coaching or job-embedded support.  In these cases, content specialists, along with master educators, work together with other central offices to ensure the unique needs of different clusters, grades, and content areas are met. Content Specialists work with school leadership, intructional specialist and/or school-based instruction coaches to provide  differentiated support to teachers, based on IMPACT data, centralized learning or on-line learning will be utilized.
Substantial support and training is provided to school-based instructional coaches by the Instructional  Specialists (IS). Training for the coaches includes but is not limited to: developing a deep understanding of the Teaching and Learning Framework, building relationship skills to develop trust, developing knowledge of the multiple roles an instructional coach plays within the scope of the job, using data to improve and act on instructional practices, developing skills to effectively work with adults, coaching and communication skills, and using technology to improve instructional practices and build communities of support among colleagues. Creating cohorts and working closer to the school level with coaches enable a close relationship between coach and central office and also facilitate tracking of progress toward school-level goals. IS's monitor progress toward goals to target and drive instructional improvements at the school level. 
School-based instructional coach fosters a culture of collaboration within each school by supporting the implementation of the Teaching and Learning Framework and ensuring continuous teacher improvement to help students achieve. This individual is skilled at working with adults, facilitating teams and groups, and monitoring progress toward established goals. The motivated individual is highly knowledgeable in standards-based lesson planning and delivery and assessment, both formal and informal. School-based instructional coaches provide critical support and guidance to all teachers at a specific school site.
All DCPS schools have been allocated Title II Professional Development funds for FY13. The breakdown is as follows: 1) $74,475 for the Targeted Assistance schools; 2) $184,850 for the non Title I schools; 3) $2,200 for the Alternative schools; and 4) $4,433,177.08 salaries and benefits for professional development staff. 
Total = $4,694,702.08</t>
  </si>
  <si>
    <t>Upon consultation with the non-public schools, funds to support ELLs have been reserved and will be used to provide services to eligible private school students, teachers, and other educational personnel. The non-public schools selected to use their funding for afterschool program contracts, purchasing materials, attending conferences, and providing professional development.
Estimates expenditures are as follows:
-  Materials and other professional development costs: $10,000.00
-  Afterschool contract services: $6,327.65</t>
  </si>
  <si>
    <t>OFPG/Nekosi Nelson (63303)</t>
  </si>
  <si>
    <t>OFPG/Melissa Alston (70238)</t>
  </si>
  <si>
    <t>TA/Wilson: 30 iPads, 6 Mac Book Air, and 2 mobility carts</t>
  </si>
  <si>
    <t>TA/Wilson: software</t>
  </si>
  <si>
    <t>Software for new computer equipment</t>
  </si>
  <si>
    <t>TA/Wilson: classroom supplies</t>
  </si>
  <si>
    <t xml:space="preserve">Materials and Supplies to support the Tiger success Program </t>
  </si>
  <si>
    <t>OCI/Vacant (59697)</t>
  </si>
  <si>
    <r>
      <t xml:space="preserve">DCPS has four schools eligible for Title I Targeted Assistance (TA) programs: Wilson HS, Watkins ES, Maury ES and Ellington School of the Arts. 
</t>
    </r>
    <r>
      <rPr>
        <sz val="11"/>
        <color rgb="FFFF0000"/>
        <rFont val="Calibri"/>
        <family val="2"/>
      </rPr>
      <t xml:space="preserve">Wilson HS will contract a 3rd party partner to provide a program using technology that will assess, plan, and deliver a focused instruction for its targeted students in reading and math, as well as  training and resounrces that will enable their instructional staff to personalize practice lessons, differentiate instruction, monitor progress and make data-driven decisions that guide each students to success. ($113,673.80)
</t>
    </r>
    <r>
      <rPr>
        <sz val="11"/>
        <rFont val="Calibri"/>
        <family val="2"/>
      </rPr>
      <t xml:space="preserve">
Watkins ES will contract a 3rd party to provide culturally and personally relevant activities designed to engage their students in problem solving, academic discourse and critical analysis; professional development that will support their teachers with classroom management, differentiating instruction  and assessment options designed to measure  student's progress and inform teaching.  ($100,990)
Maury ES will  contract a 3rd party to acquire an instructional program that builds early literacy skills at grades K-2 by emphasizes emphasizing  direct instruction and repeated practice in phonological awareness and letter knowledge and for their strugggling readers in grades 3-5, an instructional program that assess where students are, creates a plan for each student to increase his or her reading level by providing instruction that starts at their area of need (phonemic awareness and phonics, fluency and comprehension) moves the students through to mastery.  ($69,060.59)
</t>
    </r>
    <r>
      <rPr>
        <sz val="11"/>
        <color rgb="FFFF0000"/>
        <rFont val="Calibri"/>
        <family val="2"/>
      </rPr>
      <t xml:space="preserve">
Ellington School of the Arts will expand its remedial math and reading class instruction with the addition of supplemental texts, equipment and supplies and provide its targeted students with individualized academic assistance through before, after and Saturday school tutoring sessions using both school staff and community partners  ($103,775).</t>
    </r>
  </si>
  <si>
    <t>Manages quality service and technical assistance for  Title I programs. Worked 6 months only</t>
  </si>
  <si>
    <t>Manages quality service and technical assistance for  Title I programs. Worked 3 months only</t>
  </si>
  <si>
    <t xml:space="preserve">OBE will provide funding for translation and interpretation services for parents of ELLs who attend community meetings scheduled with the Chancellor and other DCPS offices (Special Education, After School Programs, and Secodary Schools). OBE will also provide funding for community organizations to provide training and outreach activities for linguistically and culturally diverse (LCD) families. OBE will provide refreshments and transportation to families to increase participation in parent trainings and workshops. OBE will sponsor one workshop for parents of  11th grade ELLs to provide information on topics of college selection and application process, financial aid, and other forms of post-secondary education.  OBE will continue to provide training to principals, clerical staff, teachers, and counselors on how to use the Language Line services to communicate with ELL families in their native language 24 hours a day, seven days per week.  The OBE parent liaison will also assist schools in ensuring that parents receive vital documents in the top five languages. 
Materials including videos at average cost of $8,000 will be provided
Translation and outreach to LCD families costs is $2,500
Registration process training (registrars and other school personnel) is $6,000
Translation for family activities, community participation and parent outreach is $4,000
Printing is $3,000
Transportation is $1,500
All day college Fair is $4,000
Food at parent trainings is $1,000
The total cost for Community Participation is $30,000.
</t>
  </si>
  <si>
    <r>
      <t>The Administrative "off-the-top" reservation will be used to pay for the following:
• Salaries and benefits for the Office of Federal Programs and Grants (OFPG) leadership and staff that provide oversight, monitoring, and programmatic, fiscal, and administrative support for all Title funded programs, initiatives and activities.</t>
    </r>
    <r>
      <rPr>
        <sz val="10"/>
        <color theme="1" tint="0.14999847407452621"/>
        <rFont val="Calibri"/>
        <family val="2"/>
      </rPr>
      <t xml:space="preserve"> ($1,533,493.54) </t>
    </r>
    <r>
      <rPr>
        <sz val="10"/>
        <rFont val="Calibri"/>
        <family val="2"/>
      </rPr>
      <t xml:space="preserve">                                                                                                                                                                                                                                                                                                                                                                                                                                                                                                                                                                                                                                                                                                                                                                                    
• Professional development for OFPG leadership and staff: Title I conferences and workshops ($28,307.54)                                                                                                                                                                                                                                                                                                                                                                                                                                                                                                                                                                                                                                                                                                                                                                                                                                                                                                                                                                                                                                                                                                                                                                                      
• Printing and distribution for Title I documentation: PRTK letters, handbooks, etc ($40,000)
• Translations for Title I parent information and  Office of Bilingual Education (OBE) parent liaison in accordance with section 1118 of NCLB ($230,907)
Indirect Costs allocation based off the 10% Administrative Set-Aside using the proposed unrestricted </t>
    </r>
    <r>
      <rPr>
        <b/>
        <sz val="10"/>
        <color theme="1" tint="0.249977111117893"/>
        <rFont val="Calibri"/>
        <family val="2"/>
      </rPr>
      <t>10.65% rate ($246,140.17).  This is the amount the OCFO proposed.  The most recently documented approved rate will be submitted.</t>
    </r>
  </si>
  <si>
    <t>TA/Ellington: Supplies and Expenses for community and parent involvement</t>
  </si>
  <si>
    <t>Supplies and materials needed to engage parents and community in learning proceses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</si>
</sst>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mm/dd/yy;@"/>
    <numFmt numFmtId="165" formatCode="0.0"/>
    <numFmt numFmtId="166" formatCode="&quot;$&quot;#,##0.00"/>
  </numFmts>
  <fonts count="59" x14ac:knownFonts="1">
    <font>
      <sz val="1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Calibri"/>
      <family val="2"/>
    </font>
    <font>
      <b/>
      <sz val="12"/>
      <name val="Calibri"/>
      <family val="2"/>
    </font>
    <font>
      <b/>
      <sz val="14"/>
      <color indexed="9"/>
      <name val="Calibri"/>
      <family val="2"/>
    </font>
    <font>
      <sz val="10"/>
      <name val="Arial"/>
      <family val="2"/>
    </font>
    <font>
      <b/>
      <sz val="14"/>
      <name val="Calibri"/>
      <family val="2"/>
    </font>
    <font>
      <b/>
      <sz val="10"/>
      <color indexed="10"/>
      <name val="Calibri"/>
      <family val="2"/>
    </font>
    <font>
      <b/>
      <sz val="12"/>
      <color indexed="10"/>
      <name val="Calibri"/>
      <family val="2"/>
    </font>
    <font>
      <b/>
      <u/>
      <sz val="12"/>
      <color indexed="10"/>
      <name val="Calibri"/>
      <family val="2"/>
    </font>
    <font>
      <b/>
      <i/>
      <sz val="12"/>
      <name val="Calibri"/>
      <family val="2"/>
    </font>
    <font>
      <b/>
      <sz val="16"/>
      <name val="Calibri"/>
      <family val="2"/>
    </font>
    <font>
      <u/>
      <sz val="8.5"/>
      <color indexed="12"/>
      <name val="Arial"/>
      <family val="2"/>
    </font>
    <font>
      <b/>
      <u/>
      <sz val="12"/>
      <name val="Calibri"/>
      <family val="2"/>
    </font>
    <font>
      <b/>
      <i/>
      <u/>
      <sz val="12"/>
      <color indexed="10"/>
      <name val="Calibri"/>
      <family val="2"/>
    </font>
    <font>
      <b/>
      <sz val="10"/>
      <name val="Calibri"/>
      <family val="2"/>
    </font>
    <font>
      <sz val="12"/>
      <name val="Calibri"/>
      <family val="2"/>
    </font>
    <font>
      <b/>
      <u/>
      <sz val="11"/>
      <color indexed="10"/>
      <name val="Calibri"/>
      <family val="2"/>
    </font>
    <font>
      <b/>
      <sz val="11"/>
      <color indexed="10"/>
      <name val="Calibri"/>
      <family val="2"/>
    </font>
    <font>
      <sz val="11"/>
      <name val="Calibri"/>
      <family val="2"/>
    </font>
    <font>
      <u/>
      <sz val="11"/>
      <color indexed="56"/>
      <name val="Calibri"/>
      <family val="2"/>
    </font>
    <font>
      <b/>
      <sz val="11"/>
      <name val="Calibri"/>
      <family val="2"/>
    </font>
    <font>
      <sz val="20"/>
      <name val="Calibri"/>
      <family val="2"/>
    </font>
    <font>
      <b/>
      <sz val="10"/>
      <color indexed="8"/>
      <name val="Calibri"/>
      <family val="2"/>
    </font>
    <font>
      <sz val="10"/>
      <color indexed="8"/>
      <name val="Calibri"/>
      <family val="2"/>
    </font>
    <font>
      <b/>
      <i/>
      <sz val="11"/>
      <name val="Calibri"/>
      <family val="2"/>
    </font>
    <font>
      <b/>
      <sz val="9"/>
      <name val="Calibri"/>
      <family val="2"/>
    </font>
    <font>
      <i/>
      <sz val="10"/>
      <name val="Calibri"/>
      <family val="2"/>
    </font>
    <font>
      <b/>
      <sz val="10"/>
      <name val="Times New Roman"/>
      <family val="1"/>
    </font>
    <font>
      <sz val="8"/>
      <name val="Calibri"/>
      <family val="2"/>
    </font>
    <font>
      <sz val="10"/>
      <name val="Times New Roman"/>
      <family val="1"/>
    </font>
    <font>
      <b/>
      <u/>
      <sz val="10"/>
      <name val="Calibri"/>
      <family val="2"/>
    </font>
    <font>
      <b/>
      <sz val="20"/>
      <color indexed="9"/>
      <name val="Calibri"/>
      <family val="2"/>
    </font>
    <font>
      <b/>
      <i/>
      <u/>
      <sz val="11"/>
      <name val="Calibri"/>
      <family val="2"/>
    </font>
    <font>
      <b/>
      <sz val="16"/>
      <color indexed="9"/>
      <name val="Calibri"/>
      <family val="2"/>
    </font>
    <font>
      <b/>
      <u/>
      <sz val="16"/>
      <color indexed="9"/>
      <name val="Calibri"/>
      <family val="2"/>
    </font>
    <font>
      <b/>
      <sz val="12"/>
      <color indexed="9"/>
      <name val="Calibri"/>
      <family val="2"/>
    </font>
    <font>
      <sz val="11"/>
      <color theme="1"/>
      <name val="Calibri"/>
      <family val="2"/>
      <scheme val="minor"/>
    </font>
    <font>
      <u/>
      <sz val="8.5"/>
      <color theme="10"/>
      <name val="Calibri"/>
      <family val="2"/>
    </font>
    <font>
      <b/>
      <sz val="11"/>
      <color rgb="FFFF0000"/>
      <name val="Calibri"/>
      <family val="2"/>
    </font>
    <font>
      <b/>
      <sz val="14"/>
      <color theme="0"/>
      <name val="Calibri"/>
      <family val="2"/>
    </font>
    <font>
      <b/>
      <sz val="10"/>
      <color theme="0"/>
      <name val="Calibri"/>
      <family val="2"/>
    </font>
    <font>
      <b/>
      <i/>
      <sz val="10"/>
      <name val="Calibri"/>
      <family val="2"/>
    </font>
    <font>
      <sz val="10"/>
      <color rgb="FFFF0000"/>
      <name val="Calibri"/>
      <family val="2"/>
    </font>
    <font>
      <sz val="10"/>
      <color theme="1"/>
      <name val="Calibri"/>
      <family val="2"/>
      <scheme val="minor"/>
    </font>
    <font>
      <sz val="10"/>
      <name val="Calibri"/>
      <family val="2"/>
    </font>
    <font>
      <sz val="12"/>
      <color theme="1"/>
      <name val="Calibri"/>
      <family val="2"/>
      <scheme val="minor"/>
    </font>
    <font>
      <sz val="10"/>
      <color theme="1" tint="0.14999847407452621"/>
      <name val="Calibri"/>
      <family val="2"/>
    </font>
    <font>
      <b/>
      <sz val="10"/>
      <color rgb="FFFF0000"/>
      <name val="Calibri"/>
      <family val="2"/>
    </font>
    <font>
      <b/>
      <sz val="10"/>
      <color theme="1" tint="0.249977111117893"/>
      <name val="Calibri"/>
      <family val="2"/>
    </font>
    <font>
      <b/>
      <sz val="11"/>
      <color theme="1" tint="0.249977111117893"/>
      <name val="Calibri"/>
      <family val="2"/>
    </font>
    <font>
      <sz val="10"/>
      <name val="Calibri"/>
    </font>
    <font>
      <sz val="11"/>
      <color rgb="FFFF0000"/>
      <name val="Calibri"/>
      <family val="2"/>
    </font>
    <font>
      <sz val="10"/>
      <color theme="1"/>
      <name val="Calibri"/>
      <family val="2"/>
    </font>
    <font>
      <sz val="10"/>
      <color rgb="FFFF0000"/>
      <name val="Calibri"/>
      <family val="2"/>
      <scheme val="minor"/>
    </font>
  </fonts>
  <fills count="30">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
      <patternFill patternType="solid">
        <fgColor indexed="10"/>
        <bgColor indexed="64"/>
      </patternFill>
    </fill>
    <fill>
      <patternFill patternType="solid">
        <fgColor indexed="1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34998626667073579"/>
        <bgColor indexed="64"/>
      </patternFill>
    </fill>
    <fill>
      <patternFill patternType="solid">
        <fgColor rgb="FF00B0F0"/>
        <bgColor indexed="64"/>
      </patternFill>
    </fill>
    <fill>
      <patternFill patternType="solid">
        <fgColor rgb="FF7030A0"/>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rgb="FFFF660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0000FF"/>
        <bgColor indexed="64"/>
      </patternFill>
    </fill>
    <fill>
      <patternFill patternType="solid">
        <fgColor rgb="FF0066FF"/>
        <bgColor indexed="64"/>
      </patternFill>
    </fill>
    <fill>
      <patternFill patternType="solid">
        <fgColor rgb="FF92D050"/>
        <bgColor indexed="64"/>
      </patternFill>
    </fill>
    <fill>
      <patternFill patternType="solid">
        <fgColor rgb="FFFF9900"/>
        <bgColor indexed="64"/>
      </patternFill>
    </fill>
    <fill>
      <patternFill patternType="solid">
        <fgColor theme="2"/>
        <bgColor indexed="64"/>
      </patternFill>
    </fill>
    <fill>
      <patternFill patternType="solid">
        <fgColor rgb="FFFF0066"/>
        <bgColor indexed="64"/>
      </patternFill>
    </fill>
  </fills>
  <borders count="104">
    <border>
      <left/>
      <right/>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ck">
        <color indexed="64"/>
      </bottom>
      <diagonal/>
    </border>
    <border>
      <left style="medium">
        <color indexed="64"/>
      </left>
      <right style="medium">
        <color indexed="64"/>
      </right>
      <top/>
      <bottom style="thick">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ck">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ck">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top/>
      <bottom style="medium">
        <color indexed="64"/>
      </bottom>
      <diagonal/>
    </border>
    <border>
      <left style="medium">
        <color indexed="64"/>
      </left>
      <right/>
      <top style="thick">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ck">
        <color indexed="64"/>
      </bottom>
      <diagonal/>
    </border>
    <border>
      <left/>
      <right style="thin">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top style="medium">
        <color rgb="FFFF0000"/>
      </top>
      <bottom/>
      <diagonal/>
    </border>
    <border>
      <left style="thick">
        <color indexed="64"/>
      </left>
      <right style="thin">
        <color indexed="64"/>
      </right>
      <top/>
      <bottom/>
      <diagonal/>
    </border>
    <border>
      <left style="thin">
        <color indexed="64"/>
      </left>
      <right style="thick">
        <color indexed="64"/>
      </right>
      <top/>
      <bottom/>
      <diagonal/>
    </border>
    <border>
      <left/>
      <right style="thin">
        <color indexed="64"/>
      </right>
      <top style="thick">
        <color indexed="64"/>
      </top>
      <bottom style="thin">
        <color indexed="64"/>
      </bottom>
      <diagonal/>
    </border>
  </borders>
  <cellStyleXfs count="30">
    <xf numFmtId="0" fontId="0" fillId="0" borderId="0"/>
    <xf numFmtId="44" fontId="6" fillId="0" borderId="0" applyFont="0" applyFill="0" applyBorder="0" applyAlignment="0" applyProtection="0"/>
    <xf numFmtId="0" fontId="4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9" fillId="0" borderId="0"/>
    <xf numFmtId="0" fontId="6" fillId="0" borderId="0"/>
    <xf numFmtId="9" fontId="41" fillId="0" borderId="0" applyFont="0" applyFill="0" applyBorder="0" applyAlignment="0" applyProtection="0"/>
    <xf numFmtId="44" fontId="49"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6"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9" fillId="0" borderId="0" applyFont="0" applyFill="0" applyBorder="0" applyAlignment="0" applyProtection="0">
      <alignment vertical="center"/>
    </xf>
    <xf numFmtId="0" fontId="9" fillId="0" borderId="0"/>
    <xf numFmtId="0" fontId="50" fillId="0" borderId="0"/>
    <xf numFmtId="0" fontId="6" fillId="0" borderId="0"/>
    <xf numFmtId="0" fontId="50" fillId="0" borderId="0"/>
    <xf numFmtId="0" fontId="50" fillId="0" borderId="0"/>
    <xf numFmtId="0" fontId="6" fillId="0" borderId="0"/>
    <xf numFmtId="0" fontId="9" fillId="0" borderId="0">
      <alignment vertical="center"/>
    </xf>
    <xf numFmtId="9" fontId="5"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43" fontId="55" fillId="0" borderId="0" applyFont="0" applyFill="0" applyBorder="0" applyAlignment="0" applyProtection="0"/>
  </cellStyleXfs>
  <cellXfs count="1199">
    <xf numFmtId="0" fontId="0" fillId="0" borderId="0" xfId="0"/>
    <xf numFmtId="0" fontId="6" fillId="0" borderId="0" xfId="0" applyFont="1" applyProtection="1"/>
    <xf numFmtId="0" fontId="6" fillId="0" borderId="0" xfId="5" applyFont="1" applyProtection="1"/>
    <xf numFmtId="0" fontId="7" fillId="2" borderId="1" xfId="5" applyFont="1" applyFill="1" applyBorder="1" applyAlignment="1" applyProtection="1">
      <alignment horizontal="center" vertical="center" wrapText="1"/>
    </xf>
    <xf numFmtId="0" fontId="7" fillId="2" borderId="0" xfId="5" applyFont="1" applyFill="1" applyBorder="1" applyAlignment="1" applyProtection="1">
      <alignment horizontal="center" vertical="center" wrapText="1"/>
    </xf>
    <xf numFmtId="0" fontId="7" fillId="2" borderId="2" xfId="5" applyFont="1" applyFill="1" applyBorder="1" applyAlignment="1" applyProtection="1">
      <alignment horizontal="center" vertical="center" wrapText="1"/>
    </xf>
    <xf numFmtId="0" fontId="11" fillId="2" borderId="0" xfId="5" applyFont="1" applyFill="1" applyBorder="1" applyAlignment="1" applyProtection="1">
      <alignment horizontal="center" vertical="center" wrapText="1"/>
    </xf>
    <xf numFmtId="0" fontId="11" fillId="2" borderId="2" xfId="5" applyFont="1" applyFill="1" applyBorder="1" applyAlignment="1" applyProtection="1">
      <alignment horizontal="center" vertical="center" wrapText="1"/>
    </xf>
    <xf numFmtId="0" fontId="11" fillId="2" borderId="3" xfId="5" applyFont="1" applyFill="1" applyBorder="1" applyAlignment="1" applyProtection="1">
      <alignment horizontal="center" vertical="center" wrapText="1"/>
    </xf>
    <xf numFmtId="0" fontId="11" fillId="2" borderId="4" xfId="5" applyFont="1" applyFill="1" applyBorder="1" applyAlignment="1" applyProtection="1">
      <alignment horizontal="center" vertical="center" wrapText="1"/>
    </xf>
    <xf numFmtId="0" fontId="12" fillId="2" borderId="4" xfId="5" applyFont="1" applyFill="1" applyBorder="1" applyAlignment="1" applyProtection="1">
      <alignment horizontal="center" vertical="center" wrapText="1"/>
    </xf>
    <xf numFmtId="0" fontId="11" fillId="2" borderId="5" xfId="5" applyFont="1" applyFill="1" applyBorder="1" applyAlignment="1" applyProtection="1">
      <alignment horizontal="center" vertical="center" wrapText="1"/>
    </xf>
    <xf numFmtId="0" fontId="11" fillId="2" borderId="1" xfId="5" applyFont="1" applyFill="1" applyBorder="1" applyAlignment="1" applyProtection="1">
      <alignment horizontal="center" vertical="center" wrapText="1"/>
    </xf>
    <xf numFmtId="0" fontId="6" fillId="2" borderId="1" xfId="5" applyFont="1" applyFill="1" applyBorder="1" applyProtection="1"/>
    <xf numFmtId="0" fontId="15" fillId="2" borderId="0" xfId="5" applyFont="1" applyFill="1" applyBorder="1" applyAlignment="1" applyProtection="1">
      <alignment horizontal="left"/>
    </xf>
    <xf numFmtId="0" fontId="6" fillId="2" borderId="0" xfId="5" applyFont="1" applyFill="1" applyBorder="1" applyProtection="1"/>
    <xf numFmtId="0" fontId="6" fillId="2" borderId="2" xfId="5" applyFont="1" applyFill="1" applyBorder="1" applyProtection="1"/>
    <xf numFmtId="0" fontId="6" fillId="2" borderId="3" xfId="5" applyFont="1" applyFill="1" applyBorder="1" applyProtection="1"/>
    <xf numFmtId="0" fontId="6" fillId="2" borderId="4" xfId="5" applyFont="1" applyFill="1" applyBorder="1" applyProtection="1"/>
    <xf numFmtId="0" fontId="6" fillId="2" borderId="5" xfId="5" applyFont="1" applyFill="1" applyBorder="1" applyProtection="1"/>
    <xf numFmtId="0" fontId="6" fillId="8" borderId="1" xfId="5" applyFont="1" applyFill="1" applyBorder="1" applyProtection="1"/>
    <xf numFmtId="0" fontId="6" fillId="0" borderId="0" xfId="5" applyFont="1" applyBorder="1" applyProtection="1"/>
    <xf numFmtId="0" fontId="6" fillId="0" borderId="0" xfId="0" applyFont="1"/>
    <xf numFmtId="0" fontId="6" fillId="2" borderId="3" xfId="5" applyFont="1" applyFill="1" applyBorder="1" applyAlignment="1" applyProtection="1">
      <alignment horizontal="left" vertical="top" wrapText="1"/>
    </xf>
    <xf numFmtId="0" fontId="6" fillId="2" borderId="4" xfId="5" applyFont="1" applyFill="1" applyBorder="1" applyAlignment="1" applyProtection="1">
      <alignment horizontal="left" vertical="top" wrapText="1"/>
    </xf>
    <xf numFmtId="0" fontId="6" fillId="2" borderId="5" xfId="5" applyFont="1" applyFill="1" applyBorder="1" applyAlignment="1" applyProtection="1">
      <alignment horizontal="left" vertical="top" wrapText="1"/>
    </xf>
    <xf numFmtId="0" fontId="6" fillId="0" borderId="0" xfId="5" applyFont="1" applyAlignment="1" applyProtection="1">
      <alignment vertical="center"/>
    </xf>
    <xf numFmtId="0" fontId="6" fillId="2" borderId="6" xfId="0" applyFont="1" applyFill="1" applyBorder="1" applyAlignment="1" applyProtection="1">
      <alignment shrinkToFit="1"/>
      <protection locked="0"/>
    </xf>
    <xf numFmtId="2" fontId="6" fillId="2" borderId="6" xfId="0" applyNumberFormat="1" applyFont="1" applyFill="1" applyBorder="1" applyAlignment="1" applyProtection="1">
      <alignment shrinkToFit="1"/>
      <protection locked="0"/>
    </xf>
    <xf numFmtId="44" fontId="6" fillId="2" borderId="6" xfId="0" applyNumberFormat="1" applyFont="1" applyFill="1" applyBorder="1" applyAlignment="1" applyProtection="1">
      <alignment shrinkToFit="1"/>
      <protection locked="0"/>
    </xf>
    <xf numFmtId="0" fontId="6" fillId="0" borderId="0" xfId="0" applyFont="1" applyFill="1" applyBorder="1" applyAlignment="1">
      <alignment horizontal="center"/>
    </xf>
    <xf numFmtId="0" fontId="6" fillId="2" borderId="0" xfId="0" applyFont="1" applyFill="1"/>
    <xf numFmtId="165" fontId="28" fillId="9" borderId="6" xfId="0" applyNumberFormat="1" applyFont="1" applyFill="1" applyBorder="1" applyAlignment="1" applyProtection="1">
      <alignment vertical="center"/>
    </xf>
    <xf numFmtId="44" fontId="28" fillId="9" borderId="6" xfId="6" applyNumberFormat="1" applyFont="1" applyFill="1" applyBorder="1" applyAlignment="1" applyProtection="1">
      <alignment horizontal="center" vertical="center"/>
    </xf>
    <xf numFmtId="0" fontId="27" fillId="9" borderId="6" xfId="0" applyFont="1" applyFill="1" applyBorder="1" applyAlignment="1" applyProtection="1">
      <alignment vertical="center"/>
    </xf>
    <xf numFmtId="0" fontId="30" fillId="10" borderId="7" xfId="5" applyFont="1" applyFill="1" applyBorder="1" applyAlignment="1" applyProtection="1">
      <alignment horizontal="left" shrinkToFit="1"/>
    </xf>
    <xf numFmtId="0" fontId="30" fillId="10" borderId="8" xfId="5" applyFont="1" applyFill="1" applyBorder="1" applyAlignment="1" applyProtection="1">
      <alignment horizontal="left" shrinkToFit="1"/>
    </xf>
    <xf numFmtId="0" fontId="30" fillId="11" borderId="9" xfId="5" applyFont="1" applyFill="1" applyBorder="1" applyAlignment="1" applyProtection="1">
      <alignment horizontal="left" shrinkToFit="1"/>
    </xf>
    <xf numFmtId="44" fontId="6" fillId="11" borderId="10" xfId="1" applyFont="1" applyFill="1" applyBorder="1" applyProtection="1"/>
    <xf numFmtId="0" fontId="30" fillId="9" borderId="11" xfId="5" applyFont="1" applyFill="1" applyBorder="1" applyAlignment="1" applyProtection="1">
      <alignment horizontal="left" shrinkToFit="1"/>
    </xf>
    <xf numFmtId="44" fontId="6" fillId="9" borderId="12" xfId="1" applyFont="1" applyFill="1" applyBorder="1" applyProtection="1"/>
    <xf numFmtId="44" fontId="6" fillId="11" borderId="9" xfId="1" applyFont="1" applyFill="1" applyBorder="1" applyProtection="1"/>
    <xf numFmtId="44" fontId="6" fillId="9" borderId="11" xfId="1" applyFont="1" applyFill="1" applyBorder="1" applyProtection="1"/>
    <xf numFmtId="0" fontId="30" fillId="9" borderId="7" xfId="5" applyFont="1" applyFill="1" applyBorder="1" applyAlignment="1" applyProtection="1">
      <alignment horizontal="left" shrinkToFit="1"/>
    </xf>
    <xf numFmtId="44" fontId="6" fillId="9" borderId="13" xfId="1" applyFont="1" applyFill="1" applyBorder="1" applyProtection="1"/>
    <xf numFmtId="0" fontId="30" fillId="9" borderId="8" xfId="5" applyFont="1" applyFill="1" applyBorder="1" applyAlignment="1" applyProtection="1">
      <alignment horizontal="left" shrinkToFit="1"/>
    </xf>
    <xf numFmtId="44" fontId="6" fillId="9" borderId="14" xfId="1" applyFont="1" applyFill="1" applyBorder="1" applyProtection="1"/>
    <xf numFmtId="44" fontId="6" fillId="0" borderId="15" xfId="1" applyFont="1" applyFill="1" applyBorder="1" applyProtection="1"/>
    <xf numFmtId="44" fontId="6" fillId="0" borderId="7" xfId="1" applyFont="1" applyFill="1" applyBorder="1" applyProtection="1"/>
    <xf numFmtId="44" fontId="6" fillId="0" borderId="16" xfId="1" applyFont="1" applyFill="1" applyBorder="1" applyProtection="1"/>
    <xf numFmtId="44" fontId="6" fillId="0" borderId="8" xfId="1" applyFont="1" applyFill="1" applyBorder="1" applyProtection="1"/>
    <xf numFmtId="44" fontId="6" fillId="9" borderId="15" xfId="1" applyFont="1" applyFill="1" applyBorder="1" applyProtection="1"/>
    <xf numFmtId="44" fontId="6" fillId="9" borderId="7" xfId="1" applyFont="1" applyFill="1" applyBorder="1" applyProtection="1"/>
    <xf numFmtId="44" fontId="6" fillId="9" borderId="16" xfId="1" applyFont="1" applyFill="1" applyBorder="1" applyProtection="1"/>
    <xf numFmtId="44" fontId="6" fillId="9" borderId="8" xfId="1" applyFont="1" applyFill="1" applyBorder="1" applyProtection="1"/>
    <xf numFmtId="0" fontId="6" fillId="12" borderId="17" xfId="0" applyFont="1" applyFill="1" applyBorder="1" applyProtection="1"/>
    <xf numFmtId="0" fontId="6" fillId="12" borderId="6" xfId="0" applyFont="1" applyFill="1" applyBorder="1" applyProtection="1"/>
    <xf numFmtId="0" fontId="6" fillId="12" borderId="18" xfId="0" applyFont="1" applyFill="1" applyBorder="1" applyAlignment="1" applyProtection="1"/>
    <xf numFmtId="0" fontId="6" fillId="12" borderId="14" xfId="0" applyFont="1" applyFill="1" applyBorder="1" applyAlignment="1" applyProtection="1"/>
    <xf numFmtId="0" fontId="6" fillId="12" borderId="19" xfId="0" applyFont="1" applyFill="1" applyBorder="1" applyAlignment="1" applyProtection="1"/>
    <xf numFmtId="0" fontId="6" fillId="12" borderId="20" xfId="0" applyFont="1" applyFill="1" applyBorder="1" applyAlignment="1" applyProtection="1"/>
    <xf numFmtId="0" fontId="6" fillId="0" borderId="0" xfId="0" applyFont="1" applyFill="1" applyProtection="1"/>
    <xf numFmtId="0" fontId="6" fillId="8" borderId="1" xfId="0" applyFont="1" applyFill="1" applyBorder="1" applyAlignment="1" applyProtection="1">
      <alignment horizontal="left" vertical="center" wrapText="1"/>
    </xf>
    <xf numFmtId="0" fontId="6" fillId="8" borderId="0" xfId="0" applyFont="1" applyFill="1" applyBorder="1" applyAlignment="1" applyProtection="1">
      <alignment horizontal="left" vertical="center" wrapText="1"/>
    </xf>
    <xf numFmtId="0" fontId="6" fillId="8" borderId="2" xfId="0" applyFont="1" applyFill="1" applyBorder="1" applyAlignment="1" applyProtection="1">
      <alignment horizontal="left" vertical="center" wrapText="1"/>
    </xf>
    <xf numFmtId="0" fontId="6" fillId="8" borderId="1" xfId="0" applyNumberFormat="1" applyFont="1" applyFill="1" applyBorder="1" applyAlignment="1" applyProtection="1">
      <alignment horizontal="left" vertical="center" wrapText="1"/>
    </xf>
    <xf numFmtId="0" fontId="6" fillId="8" borderId="1" xfId="0" applyNumberFormat="1" applyFont="1" applyFill="1" applyBorder="1" applyAlignment="1" applyProtection="1">
      <alignment horizontal="left" vertical="center" wrapText="1"/>
    </xf>
    <xf numFmtId="0" fontId="6" fillId="8" borderId="0" xfId="0" applyNumberFormat="1" applyFont="1" applyFill="1" applyBorder="1" applyAlignment="1" applyProtection="1">
      <alignment horizontal="left" vertical="center" wrapText="1"/>
    </xf>
    <xf numFmtId="0" fontId="6" fillId="8" borderId="2" xfId="0" applyNumberFormat="1" applyFont="1" applyFill="1" applyBorder="1" applyAlignment="1" applyProtection="1">
      <alignment horizontal="left" vertical="center" wrapText="1"/>
    </xf>
    <xf numFmtId="0" fontId="6" fillId="2" borderId="21" xfId="0" applyFont="1" applyFill="1" applyBorder="1" applyAlignment="1" applyProtection="1">
      <alignment shrinkToFit="1"/>
    </xf>
    <xf numFmtId="0" fontId="32" fillId="2" borderId="0" xfId="0" applyFont="1" applyFill="1" applyBorder="1" applyAlignment="1" applyProtection="1">
      <alignment wrapText="1" shrinkToFit="1"/>
    </xf>
    <xf numFmtId="0" fontId="6" fillId="4" borderId="22" xfId="0" applyFont="1" applyFill="1" applyBorder="1" applyAlignment="1" applyProtection="1">
      <alignment horizontal="center" vertical="center" shrinkToFit="1"/>
      <protection locked="0"/>
    </xf>
    <xf numFmtId="0" fontId="6" fillId="2" borderId="0" xfId="0" applyFont="1" applyFill="1" applyBorder="1" applyAlignment="1" applyProtection="1">
      <alignment shrinkToFit="1"/>
    </xf>
    <xf numFmtId="0" fontId="6" fillId="2" borderId="0" xfId="0" applyFont="1" applyFill="1" applyBorder="1" applyAlignment="1" applyProtection="1">
      <alignment horizontal="center" shrinkToFit="1"/>
    </xf>
    <xf numFmtId="0" fontId="33" fillId="2" borderId="0" xfId="0" applyFont="1" applyFill="1" applyBorder="1" applyAlignment="1" applyProtection="1">
      <alignment horizontal="center" shrinkToFit="1"/>
    </xf>
    <xf numFmtId="0" fontId="6" fillId="2" borderId="0" xfId="0" applyFont="1" applyFill="1" applyBorder="1" applyAlignment="1" applyProtection="1">
      <alignment horizontal="left" wrapText="1" shrinkToFit="1"/>
    </xf>
    <xf numFmtId="0" fontId="6" fillId="4" borderId="22" xfId="0" applyFont="1" applyFill="1" applyBorder="1" applyAlignment="1" applyProtection="1">
      <alignment horizontal="center" vertical="top" shrinkToFit="1"/>
      <protection locked="0"/>
    </xf>
    <xf numFmtId="0" fontId="34" fillId="2" borderId="0" xfId="0" applyFont="1" applyFill="1" applyBorder="1" applyAlignment="1" applyProtection="1">
      <alignment horizontal="left" shrinkToFit="1"/>
    </xf>
    <xf numFmtId="0" fontId="33" fillId="2" borderId="23" xfId="0" applyFont="1" applyFill="1" applyBorder="1" applyAlignment="1" applyProtection="1">
      <alignment horizontal="center" shrinkToFit="1"/>
    </xf>
    <xf numFmtId="0" fontId="6" fillId="2" borderId="23" xfId="0" applyFont="1" applyFill="1" applyBorder="1" applyAlignment="1" applyProtection="1">
      <alignment shrinkToFit="1"/>
    </xf>
    <xf numFmtId="0" fontId="6" fillId="8" borderId="23" xfId="0" applyFont="1" applyFill="1" applyBorder="1" applyAlignment="1" applyProtection="1">
      <alignment wrapText="1" shrinkToFit="1"/>
    </xf>
    <xf numFmtId="0" fontId="6" fillId="8" borderId="0" xfId="0" applyFont="1" applyFill="1" applyBorder="1" applyAlignment="1" applyProtection="1">
      <alignment wrapText="1" shrinkToFit="1"/>
    </xf>
    <xf numFmtId="164" fontId="6" fillId="4" borderId="22" xfId="0" applyNumberFormat="1" applyFont="1" applyFill="1" applyBorder="1" applyAlignment="1" applyProtection="1">
      <alignment horizontal="center" vertical="center" shrinkToFit="1"/>
      <protection locked="0"/>
    </xf>
    <xf numFmtId="0" fontId="6" fillId="2" borderId="24" xfId="0" applyFont="1" applyFill="1" applyBorder="1" applyAlignment="1" applyProtection="1">
      <alignment shrinkToFit="1"/>
    </xf>
    <xf numFmtId="0" fontId="6" fillId="2" borderId="2" xfId="0" applyFont="1" applyFill="1" applyBorder="1" applyAlignment="1" applyProtection="1">
      <alignment shrinkToFit="1"/>
    </xf>
    <xf numFmtId="0" fontId="6" fillId="2" borderId="25" xfId="0" applyFont="1" applyFill="1" applyBorder="1" applyAlignment="1" applyProtection="1">
      <alignment shrinkToFit="1"/>
    </xf>
    <xf numFmtId="0" fontId="6" fillId="2" borderId="1" xfId="0" applyFont="1" applyFill="1" applyBorder="1" applyAlignment="1" applyProtection="1">
      <alignment shrinkToFit="1"/>
    </xf>
    <xf numFmtId="0" fontId="33" fillId="2" borderId="1" xfId="0" applyFont="1" applyFill="1" applyBorder="1" applyAlignment="1" applyProtection="1">
      <alignment horizontal="center" shrinkToFit="1"/>
    </xf>
    <xf numFmtId="0" fontId="6" fillId="8" borderId="2" xfId="0" applyFont="1" applyFill="1" applyBorder="1" applyAlignment="1" applyProtection="1">
      <alignment wrapText="1" shrinkToFit="1"/>
    </xf>
    <xf numFmtId="0" fontId="6" fillId="2" borderId="2" xfId="0" applyFont="1" applyFill="1" applyBorder="1" applyAlignment="1" applyProtection="1">
      <alignment horizontal="left" wrapText="1" shrinkToFit="1"/>
    </xf>
    <xf numFmtId="0" fontId="33" fillId="2" borderId="26" xfId="0" applyFont="1" applyFill="1" applyBorder="1" applyAlignment="1" applyProtection="1">
      <alignment horizontal="center" shrinkToFit="1"/>
    </xf>
    <xf numFmtId="0" fontId="6" fillId="8" borderId="27" xfId="0" applyFont="1" applyFill="1" applyBorder="1" applyAlignment="1" applyProtection="1">
      <alignment wrapText="1" shrinkToFit="1"/>
    </xf>
    <xf numFmtId="0" fontId="6" fillId="8" borderId="5" xfId="0" applyFont="1" applyFill="1" applyBorder="1" applyAlignment="1" applyProtection="1">
      <alignment wrapText="1" shrinkToFit="1"/>
    </xf>
    <xf numFmtId="0" fontId="6" fillId="2" borderId="0" xfId="0" applyFont="1" applyFill="1" applyBorder="1" applyAlignment="1">
      <alignment wrapText="1"/>
    </xf>
    <xf numFmtId="0" fontId="6" fillId="0" borderId="28" xfId="0" applyFont="1" applyBorder="1" applyProtection="1"/>
    <xf numFmtId="0" fontId="6" fillId="0" borderId="2" xfId="0" applyFont="1" applyBorder="1" applyProtection="1"/>
    <xf numFmtId="0" fontId="6" fillId="0" borderId="2" xfId="0" applyFont="1" applyFill="1" applyBorder="1" applyProtection="1"/>
    <xf numFmtId="0" fontId="6" fillId="2" borderId="2" xfId="0" applyFont="1" applyFill="1" applyBorder="1" applyAlignment="1">
      <alignment wrapText="1"/>
    </xf>
    <xf numFmtId="0" fontId="28" fillId="2" borderId="2" xfId="0" applyFont="1" applyFill="1" applyBorder="1" applyAlignment="1">
      <alignment horizontal="left" wrapText="1"/>
    </xf>
    <xf numFmtId="0" fontId="6" fillId="0" borderId="0" xfId="0" applyFont="1" applyFill="1" applyBorder="1" applyProtection="1"/>
    <xf numFmtId="0" fontId="33" fillId="8" borderId="4" xfId="0" applyFont="1" applyFill="1" applyBorder="1" applyAlignment="1" applyProtection="1">
      <alignment horizontal="center" shrinkToFit="1"/>
    </xf>
    <xf numFmtId="0" fontId="6" fillId="8" borderId="4" xfId="0" applyFont="1" applyFill="1" applyBorder="1" applyAlignment="1" applyProtection="1">
      <alignment shrinkToFit="1"/>
    </xf>
    <xf numFmtId="0" fontId="6" fillId="8" borderId="4" xfId="0" applyNumberFormat="1" applyFont="1" applyFill="1" applyBorder="1" applyAlignment="1" applyProtection="1">
      <alignment horizontal="center" vertical="center" shrinkToFit="1"/>
      <protection locked="0"/>
    </xf>
    <xf numFmtId="0" fontId="33" fillId="8" borderId="3" xfId="0" applyFont="1" applyFill="1" applyBorder="1" applyAlignment="1" applyProtection="1">
      <alignment horizontal="center" shrinkToFit="1"/>
    </xf>
    <xf numFmtId="0" fontId="6" fillId="2" borderId="0" xfId="0" applyFont="1" applyFill="1" applyBorder="1"/>
    <xf numFmtId="0" fontId="15" fillId="2" borderId="0" xfId="5" applyFont="1" applyFill="1" applyBorder="1" applyAlignment="1" applyProtection="1">
      <alignment horizontal="center" vertical="center"/>
    </xf>
    <xf numFmtId="0" fontId="6" fillId="2" borderId="0" xfId="5" applyFont="1" applyFill="1" applyBorder="1" applyAlignment="1" applyProtection="1">
      <alignment vertical="center"/>
    </xf>
    <xf numFmtId="0" fontId="10" fillId="2" borderId="0" xfId="5" applyFont="1" applyFill="1" applyBorder="1" applyAlignment="1" applyProtection="1">
      <alignment horizontal="right" vertical="center"/>
    </xf>
    <xf numFmtId="0" fontId="6" fillId="8" borderId="4" xfId="5" applyFont="1" applyFill="1" applyBorder="1" applyAlignment="1" applyProtection="1">
      <alignment vertical="center"/>
    </xf>
    <xf numFmtId="0" fontId="7" fillId="2" borderId="0" xfId="5" applyFont="1" applyFill="1" applyBorder="1" applyProtection="1"/>
    <xf numFmtId="0" fontId="32" fillId="2" borderId="2" xfId="0" applyFont="1" applyFill="1" applyBorder="1" applyAlignment="1" applyProtection="1">
      <alignment wrapText="1" shrinkToFit="1"/>
    </xf>
    <xf numFmtId="0" fontId="6" fillId="0" borderId="0" xfId="0" applyFont="1" applyBorder="1" applyProtection="1"/>
    <xf numFmtId="0" fontId="33" fillId="8" borderId="1" xfId="0" applyFont="1" applyFill="1" applyBorder="1" applyAlignment="1" applyProtection="1">
      <alignment horizontal="center" shrinkToFit="1"/>
    </xf>
    <xf numFmtId="0" fontId="33" fillId="8" borderId="0" xfId="0" applyFont="1" applyFill="1" applyBorder="1" applyAlignment="1" applyProtection="1">
      <alignment horizontal="center" shrinkToFit="1"/>
    </xf>
    <xf numFmtId="0" fontId="6" fillId="8" borderId="0" xfId="0" applyFont="1" applyFill="1" applyBorder="1" applyAlignment="1" applyProtection="1">
      <alignment shrinkToFit="1"/>
    </xf>
    <xf numFmtId="0" fontId="6" fillId="8" borderId="1" xfId="0" applyFont="1" applyFill="1" applyBorder="1" applyProtection="1"/>
    <xf numFmtId="0" fontId="6" fillId="8" borderId="0" xfId="0" applyFont="1" applyFill="1" applyBorder="1" applyProtection="1"/>
    <xf numFmtId="0" fontId="6" fillId="8" borderId="2" xfId="0" applyFont="1" applyFill="1" applyBorder="1" applyProtection="1"/>
    <xf numFmtId="0" fontId="6" fillId="8" borderId="3" xfId="0" applyFont="1" applyFill="1" applyBorder="1" applyProtection="1"/>
    <xf numFmtId="0" fontId="6" fillId="8" borderId="4" xfId="0" applyFont="1" applyFill="1" applyBorder="1" applyProtection="1"/>
    <xf numFmtId="0" fontId="6" fillId="8" borderId="5" xfId="0" applyFont="1" applyFill="1" applyBorder="1" applyProtection="1"/>
    <xf numFmtId="0" fontId="6" fillId="8" borderId="4" xfId="0" applyNumberFormat="1" applyFont="1" applyFill="1" applyBorder="1" applyAlignment="1" applyProtection="1">
      <alignment vertical="top" wrapText="1"/>
    </xf>
    <xf numFmtId="0" fontId="43" fillId="2" borderId="0" xfId="5" applyFont="1" applyFill="1" applyBorder="1" applyAlignment="1" applyProtection="1">
      <alignment horizontal="center" vertical="center" wrapText="1"/>
    </xf>
    <xf numFmtId="0" fontId="6" fillId="8" borderId="0" xfId="0" applyFont="1" applyFill="1" applyBorder="1" applyAlignment="1" applyProtection="1">
      <alignment wrapText="1" shrinkToFit="1"/>
    </xf>
    <xf numFmtId="0" fontId="6" fillId="8" borderId="2" xfId="0" applyFont="1" applyFill="1" applyBorder="1" applyAlignment="1" applyProtection="1">
      <alignment wrapText="1" shrinkToFit="1"/>
    </xf>
    <xf numFmtId="0" fontId="19" fillId="8" borderId="0" xfId="0" applyFont="1" applyFill="1" applyBorder="1" applyAlignment="1" applyProtection="1">
      <alignment wrapText="1" shrinkToFit="1"/>
    </xf>
    <xf numFmtId="0" fontId="6" fillId="8" borderId="0" xfId="0" applyFont="1" applyFill="1" applyBorder="1" applyAlignment="1" applyProtection="1">
      <alignment horizontal="left" wrapText="1" shrinkToFit="1"/>
    </xf>
    <xf numFmtId="0" fontId="6" fillId="8" borderId="5" xfId="5" applyFont="1" applyFill="1" applyBorder="1" applyAlignment="1" applyProtection="1">
      <alignment wrapText="1" shrinkToFit="1"/>
    </xf>
    <xf numFmtId="0" fontId="6" fillId="8" borderId="4" xfId="5" applyFont="1" applyFill="1" applyBorder="1" applyAlignment="1" applyProtection="1">
      <alignment wrapText="1" shrinkToFit="1"/>
    </xf>
    <xf numFmtId="0" fontId="6" fillId="2" borderId="4" xfId="5" applyFont="1" applyFill="1" applyBorder="1" applyAlignment="1" applyProtection="1">
      <alignment shrinkToFit="1"/>
    </xf>
    <xf numFmtId="0" fontId="33" fillId="2" borderId="4" xfId="5" applyFont="1" applyFill="1" applyBorder="1" applyAlignment="1" applyProtection="1">
      <alignment horizontal="center" shrinkToFit="1"/>
    </xf>
    <xf numFmtId="0" fontId="33" fillId="2" borderId="3" xfId="5" applyFont="1" applyFill="1" applyBorder="1" applyAlignment="1" applyProtection="1">
      <alignment horizontal="center" shrinkToFit="1"/>
    </xf>
    <xf numFmtId="0" fontId="6" fillId="8" borderId="2" xfId="5" applyFont="1" applyFill="1" applyBorder="1" applyAlignment="1" applyProtection="1">
      <alignment wrapText="1" shrinkToFit="1"/>
    </xf>
    <xf numFmtId="0" fontId="6" fillId="2" borderId="0" xfId="5" applyFont="1" applyFill="1" applyBorder="1" applyAlignment="1" applyProtection="1">
      <alignment shrinkToFit="1"/>
    </xf>
    <xf numFmtId="0" fontId="33" fillId="2" borderId="0" xfId="5" applyFont="1" applyFill="1" applyBorder="1" applyAlignment="1" applyProtection="1">
      <alignment horizontal="center" shrinkToFit="1"/>
    </xf>
    <xf numFmtId="0" fontId="33" fillId="2" borderId="1" xfId="5" applyFont="1" applyFill="1" applyBorder="1" applyAlignment="1" applyProtection="1">
      <alignment horizontal="center" shrinkToFit="1"/>
    </xf>
    <xf numFmtId="0" fontId="6" fillId="4" borderId="22" xfId="5" applyFont="1" applyFill="1" applyBorder="1" applyAlignment="1" applyProtection="1">
      <alignment horizontal="center" vertical="center" shrinkToFit="1"/>
      <protection locked="0"/>
    </xf>
    <xf numFmtId="0" fontId="6" fillId="2" borderId="2" xfId="5" applyFont="1" applyFill="1" applyBorder="1" applyAlignment="1" applyProtection="1">
      <alignment shrinkToFit="1"/>
    </xf>
    <xf numFmtId="0" fontId="6" fillId="2" borderId="0" xfId="5" applyFont="1" applyFill="1" applyBorder="1" applyAlignment="1" applyProtection="1">
      <alignment horizontal="center" shrinkToFit="1"/>
    </xf>
    <xf numFmtId="0" fontId="6" fillId="2" borderId="1" xfId="5" applyFont="1" applyFill="1" applyBorder="1" applyAlignment="1" applyProtection="1">
      <alignment shrinkToFit="1"/>
    </xf>
    <xf numFmtId="0" fontId="6" fillId="2" borderId="24" xfId="5" applyFont="1" applyFill="1" applyBorder="1" applyAlignment="1" applyProtection="1">
      <alignment shrinkToFit="1"/>
    </xf>
    <xf numFmtId="0" fontId="6" fillId="2" borderId="21" xfId="5" applyFont="1" applyFill="1" applyBorder="1" applyAlignment="1" applyProtection="1">
      <alignment shrinkToFit="1"/>
    </xf>
    <xf numFmtId="0" fontId="6" fillId="2" borderId="25" xfId="5" applyFont="1" applyFill="1" applyBorder="1" applyAlignment="1" applyProtection="1">
      <alignment shrinkToFit="1"/>
    </xf>
    <xf numFmtId="0" fontId="6" fillId="0" borderId="0" xfId="5" applyFont="1" applyFill="1" applyProtection="1"/>
    <xf numFmtId="0" fontId="6" fillId="8" borderId="0" xfId="5" applyFont="1" applyFill="1" applyBorder="1" applyAlignment="1" applyProtection="1">
      <alignment wrapText="1" shrinkToFit="1"/>
    </xf>
    <xf numFmtId="0" fontId="6" fillId="8" borderId="27" xfId="5" applyFont="1" applyFill="1" applyBorder="1" applyAlignment="1" applyProtection="1">
      <alignment wrapText="1" shrinkToFit="1"/>
    </xf>
    <xf numFmtId="0" fontId="6" fillId="8" borderId="23" xfId="5" applyFont="1" applyFill="1" applyBorder="1" applyAlignment="1" applyProtection="1">
      <alignment wrapText="1" shrinkToFit="1"/>
    </xf>
    <xf numFmtId="0" fontId="6" fillId="2" borderId="23" xfId="5" applyFont="1" applyFill="1" applyBorder="1" applyAlignment="1" applyProtection="1">
      <alignment shrinkToFit="1"/>
    </xf>
    <xf numFmtId="0" fontId="33" fillId="2" borderId="23" xfId="5" applyFont="1" applyFill="1" applyBorder="1" applyAlignment="1" applyProtection="1">
      <alignment horizontal="center" shrinkToFit="1"/>
    </xf>
    <xf numFmtId="0" fontId="33" fillId="2" borderId="26" xfId="5" applyFont="1" applyFill="1" applyBorder="1" applyAlignment="1" applyProtection="1">
      <alignment horizontal="center" shrinkToFit="1"/>
    </xf>
    <xf numFmtId="0" fontId="6" fillId="0" borderId="1" xfId="5" applyFont="1" applyFill="1" applyBorder="1" applyProtection="1"/>
    <xf numFmtId="0" fontId="6" fillId="4" borderId="22" xfId="5" applyFont="1" applyFill="1" applyBorder="1" applyAlignment="1" applyProtection="1">
      <alignment horizontal="center" vertical="top" shrinkToFit="1"/>
      <protection locked="0"/>
    </xf>
    <xf numFmtId="0" fontId="34" fillId="2" borderId="0" xfId="5" applyFont="1" applyFill="1" applyBorder="1" applyAlignment="1" applyProtection="1">
      <alignment horizontal="left" shrinkToFit="1"/>
    </xf>
    <xf numFmtId="0" fontId="6" fillId="2" borderId="2" xfId="5" applyFont="1" applyFill="1" applyBorder="1" applyAlignment="1" applyProtection="1">
      <alignment horizontal="left" wrapText="1" shrinkToFit="1"/>
    </xf>
    <xf numFmtId="0" fontId="6" fillId="2" borderId="0" xfId="5" applyFont="1" applyFill="1" applyBorder="1" applyAlignment="1" applyProtection="1">
      <alignment horizontal="left" wrapText="1" shrinkToFit="1"/>
    </xf>
    <xf numFmtId="0" fontId="19" fillId="2" borderId="0" xfId="5" applyFont="1" applyFill="1" applyBorder="1" applyAlignment="1" applyProtection="1">
      <alignment horizontal="left" shrinkToFit="1"/>
    </xf>
    <xf numFmtId="0" fontId="6" fillId="12" borderId="20" xfId="5" applyFont="1" applyFill="1" applyBorder="1" applyAlignment="1" applyProtection="1"/>
    <xf numFmtId="0" fontId="6" fillId="12" borderId="18" xfId="5" applyFont="1" applyFill="1" applyBorder="1" applyAlignment="1" applyProtection="1"/>
    <xf numFmtId="0" fontId="6" fillId="12" borderId="19" xfId="5" applyFont="1" applyFill="1" applyBorder="1" applyAlignment="1" applyProtection="1"/>
    <xf numFmtId="0" fontId="6" fillId="12" borderId="14" xfId="5" applyFont="1" applyFill="1" applyBorder="1" applyAlignment="1" applyProtection="1"/>
    <xf numFmtId="0" fontId="6" fillId="12" borderId="6" xfId="5" applyFont="1" applyFill="1" applyBorder="1" applyProtection="1"/>
    <xf numFmtId="0" fontId="6" fillId="12" borderId="17" xfId="5" applyFont="1" applyFill="1" applyBorder="1" applyProtection="1"/>
    <xf numFmtId="0" fontId="6" fillId="0" borderId="0" xfId="5" applyAlignment="1" applyProtection="1">
      <alignment wrapText="1"/>
    </xf>
    <xf numFmtId="0" fontId="19" fillId="2" borderId="6" xfId="5" applyFont="1" applyFill="1" applyBorder="1" applyAlignment="1" applyProtection="1">
      <alignment horizontal="center" shrinkToFit="1"/>
    </xf>
    <xf numFmtId="0" fontId="19" fillId="0" borderId="0" xfId="5" applyFont="1" applyAlignment="1" applyProtection="1">
      <alignment horizontal="center" wrapText="1"/>
    </xf>
    <xf numFmtId="0" fontId="6" fillId="0" borderId="0" xfId="5" applyFill="1" applyAlignment="1" applyProtection="1">
      <alignment wrapText="1"/>
    </xf>
    <xf numFmtId="0" fontId="6" fillId="0" borderId="0" xfId="5" applyBorder="1" applyAlignment="1" applyProtection="1">
      <alignment wrapText="1"/>
    </xf>
    <xf numFmtId="44" fontId="28" fillId="9" borderId="30" xfId="6" applyNumberFormat="1" applyFont="1" applyFill="1" applyBorder="1" applyAlignment="1" applyProtection="1">
      <alignment horizontal="center" vertical="center"/>
    </xf>
    <xf numFmtId="0" fontId="19" fillId="8" borderId="0" xfId="0" applyFont="1" applyFill="1" applyBorder="1" applyAlignment="1" applyProtection="1">
      <alignment vertical="top" wrapText="1" shrinkToFit="1"/>
    </xf>
    <xf numFmtId="44" fontId="6" fillId="11" borderId="13" xfId="1" applyFont="1" applyFill="1" applyBorder="1" applyProtection="1"/>
    <xf numFmtId="44" fontId="6" fillId="11" borderId="14" xfId="1" applyFont="1" applyFill="1" applyBorder="1" applyProtection="1"/>
    <xf numFmtId="0" fontId="19" fillId="8" borderId="0" xfId="0" applyFont="1" applyFill="1" applyBorder="1" applyAlignment="1" applyProtection="1">
      <alignment vertical="top" wrapText="1" shrinkToFit="1"/>
    </xf>
    <xf numFmtId="0" fontId="6" fillId="8" borderId="2" xfId="0" applyFont="1" applyFill="1" applyBorder="1" applyAlignment="1" applyProtection="1">
      <alignment wrapText="1" shrinkToFit="1"/>
    </xf>
    <xf numFmtId="0" fontId="6" fillId="12" borderId="21" xfId="0" applyFont="1" applyFill="1" applyBorder="1" applyAlignment="1" applyProtection="1"/>
    <xf numFmtId="0" fontId="6" fillId="12" borderId="24" xfId="0" applyFont="1" applyFill="1" applyBorder="1" applyAlignment="1" applyProtection="1"/>
    <xf numFmtId="0" fontId="6" fillId="12" borderId="37" xfId="0" applyFont="1" applyFill="1" applyBorder="1" applyProtection="1"/>
    <xf numFmtId="0" fontId="6" fillId="12" borderId="50" xfId="0" applyFont="1" applyFill="1" applyBorder="1" applyProtection="1"/>
    <xf numFmtId="0" fontId="6" fillId="12" borderId="71" xfId="0" applyFont="1" applyFill="1" applyBorder="1" applyAlignment="1" applyProtection="1"/>
    <xf numFmtId="0" fontId="6" fillId="12" borderId="68" xfId="0" applyFont="1" applyFill="1" applyBorder="1" applyAlignment="1" applyProtection="1"/>
    <xf numFmtId="0" fontId="33" fillId="2" borderId="3" xfId="0" applyFont="1" applyFill="1" applyBorder="1" applyAlignment="1" applyProtection="1">
      <alignment horizontal="center" shrinkToFit="1"/>
    </xf>
    <xf numFmtId="0" fontId="6" fillId="2" borderId="4" xfId="0" applyFont="1" applyFill="1" applyBorder="1" applyAlignment="1" applyProtection="1">
      <alignment horizontal="center" shrinkToFit="1"/>
    </xf>
    <xf numFmtId="0" fontId="6" fillId="2" borderId="4" xfId="0" applyFont="1" applyFill="1" applyBorder="1" applyAlignment="1" applyProtection="1">
      <alignment shrinkToFit="1"/>
    </xf>
    <xf numFmtId="0" fontId="6" fillId="2" borderId="5" xfId="0" applyFont="1" applyFill="1" applyBorder="1" applyAlignment="1" applyProtection="1">
      <alignment shrinkToFit="1"/>
    </xf>
    <xf numFmtId="0" fontId="6" fillId="2" borderId="71" xfId="0" applyFont="1" applyFill="1" applyBorder="1" applyAlignment="1" applyProtection="1">
      <alignment shrinkToFit="1"/>
    </xf>
    <xf numFmtId="0" fontId="6" fillId="2" borderId="68" xfId="0" applyFont="1" applyFill="1" applyBorder="1" applyAlignment="1" applyProtection="1">
      <alignment shrinkToFit="1"/>
    </xf>
    <xf numFmtId="0" fontId="6" fillId="2" borderId="72" xfId="0" applyFont="1" applyFill="1" applyBorder="1" applyAlignment="1" applyProtection="1">
      <alignment shrinkToFit="1"/>
    </xf>
    <xf numFmtId="0" fontId="6" fillId="0" borderId="0" xfId="0" applyFont="1" applyBorder="1" applyAlignment="1" applyProtection="1">
      <alignment shrinkToFit="1"/>
    </xf>
    <xf numFmtId="0" fontId="7" fillId="2" borderId="0" xfId="0" applyFont="1" applyFill="1" applyBorder="1" applyAlignment="1" applyProtection="1">
      <alignment wrapText="1" shrinkToFit="1"/>
    </xf>
    <xf numFmtId="0" fontId="32" fillId="2" borderId="69" xfId="0" applyFont="1" applyFill="1" applyBorder="1" applyAlignment="1" applyProtection="1">
      <alignment wrapText="1" shrinkToFit="1"/>
    </xf>
    <xf numFmtId="0" fontId="33" fillId="2" borderId="72" xfId="0" applyFont="1" applyFill="1" applyBorder="1" applyAlignment="1" applyProtection="1">
      <alignment horizontal="center" shrinkToFit="1"/>
    </xf>
    <xf numFmtId="0" fontId="6" fillId="2" borderId="69" xfId="0" applyFont="1" applyFill="1" applyBorder="1" applyAlignment="1" applyProtection="1">
      <alignment shrinkToFit="1"/>
    </xf>
    <xf numFmtId="0" fontId="33" fillId="2" borderId="0" xfId="0" applyFont="1" applyFill="1" applyBorder="1" applyAlignment="1" applyProtection="1">
      <alignment horizontal="center" shrinkToFit="1"/>
      <protection locked="0"/>
    </xf>
    <xf numFmtId="0" fontId="33" fillId="2" borderId="73" xfId="0" applyFont="1" applyFill="1" applyBorder="1" applyAlignment="1" applyProtection="1">
      <alignment horizontal="center" shrinkToFit="1"/>
    </xf>
    <xf numFmtId="0" fontId="0" fillId="8" borderId="0" xfId="0" applyFill="1"/>
    <xf numFmtId="0" fontId="6" fillId="0" borderId="6" xfId="0" applyFont="1" applyFill="1" applyBorder="1" applyAlignment="1" applyProtection="1">
      <alignment shrinkToFit="1"/>
      <protection locked="0"/>
    </xf>
    <xf numFmtId="44" fontId="6" fillId="0" borderId="6" xfId="0" applyNumberFormat="1" applyFont="1" applyFill="1" applyBorder="1" applyAlignment="1" applyProtection="1">
      <alignment shrinkToFit="1"/>
      <protection locked="0"/>
    </xf>
    <xf numFmtId="0" fontId="6" fillId="8" borderId="6" xfId="0" applyFont="1" applyFill="1" applyBorder="1" applyAlignment="1" applyProtection="1">
      <alignment shrinkToFit="1"/>
      <protection locked="0"/>
    </xf>
    <xf numFmtId="44" fontId="6" fillId="8" borderId="6" xfId="0" applyNumberFormat="1" applyFont="1" applyFill="1" applyBorder="1" applyAlignment="1" applyProtection="1">
      <alignment shrinkToFit="1"/>
      <protection locked="0"/>
    </xf>
    <xf numFmtId="0" fontId="6" fillId="8" borderId="0" xfId="0" applyFont="1" applyFill="1" applyProtection="1"/>
    <xf numFmtId="0" fontId="33" fillId="2" borderId="6" xfId="0" applyFont="1" applyFill="1" applyBorder="1" applyAlignment="1" applyProtection="1">
      <alignment horizontal="center" shrinkToFit="1"/>
      <protection locked="0"/>
    </xf>
    <xf numFmtId="0" fontId="33" fillId="2" borderId="30" xfId="0" applyFont="1" applyFill="1" applyBorder="1" applyAlignment="1" applyProtection="1">
      <alignment horizontal="center" shrinkToFit="1"/>
      <protection locked="0"/>
    </xf>
    <xf numFmtId="0" fontId="0" fillId="0" borderId="6" xfId="0" applyBorder="1" applyProtection="1">
      <protection locked="0"/>
    </xf>
    <xf numFmtId="0" fontId="33" fillId="2" borderId="18" xfId="0" applyFont="1" applyFill="1" applyBorder="1" applyAlignment="1" applyProtection="1">
      <alignment horizontal="center" shrinkToFit="1"/>
      <protection locked="0"/>
    </xf>
    <xf numFmtId="0" fontId="33" fillId="2" borderId="19" xfId="0" applyFont="1" applyFill="1" applyBorder="1" applyAlignment="1" applyProtection="1">
      <alignment horizontal="center" shrinkToFit="1"/>
      <protection locked="0"/>
    </xf>
    <xf numFmtId="0" fontId="6" fillId="0" borderId="6" xfId="0" applyFont="1" applyBorder="1" applyProtection="1">
      <protection locked="0"/>
    </xf>
    <xf numFmtId="0" fontId="6" fillId="0" borderId="0" xfId="0" applyFont="1" applyProtection="1">
      <protection locked="0"/>
    </xf>
    <xf numFmtId="0" fontId="33" fillId="2" borderId="20" xfId="0" applyFont="1" applyFill="1" applyBorder="1" applyAlignment="1" applyProtection="1">
      <alignment horizontal="center" shrinkToFit="1"/>
      <protection locked="0"/>
    </xf>
    <xf numFmtId="0" fontId="23" fillId="0" borderId="6" xfId="0" applyFont="1" applyFill="1" applyBorder="1" applyAlignment="1" applyProtection="1">
      <alignment shrinkToFit="1"/>
      <protection locked="0"/>
    </xf>
    <xf numFmtId="44" fontId="48" fillId="0" borderId="0" xfId="1" applyFont="1" applyFill="1" applyBorder="1" applyProtection="1">
      <protection locked="0"/>
    </xf>
    <xf numFmtId="0" fontId="6" fillId="2" borderId="14" xfId="0" applyFont="1" applyFill="1" applyBorder="1" applyAlignment="1" applyProtection="1">
      <alignment shrinkToFit="1"/>
      <protection locked="0"/>
    </xf>
    <xf numFmtId="0" fontId="6" fillId="2" borderId="19" xfId="0" applyFont="1" applyFill="1" applyBorder="1" applyAlignment="1" applyProtection="1">
      <alignment shrinkToFit="1"/>
      <protection locked="0"/>
    </xf>
    <xf numFmtId="0" fontId="6" fillId="2" borderId="18" xfId="0" applyFont="1" applyFill="1" applyBorder="1" applyAlignment="1" applyProtection="1">
      <alignment shrinkToFit="1"/>
      <protection locked="0"/>
    </xf>
    <xf numFmtId="0" fontId="6" fillId="8" borderId="18" xfId="0" applyFont="1" applyFill="1" applyBorder="1" applyAlignment="1" applyProtection="1">
      <alignment horizontal="left" shrinkToFit="1"/>
      <protection locked="0"/>
    </xf>
    <xf numFmtId="0" fontId="6" fillId="8" borderId="19" xfId="0" applyFont="1" applyFill="1" applyBorder="1" applyAlignment="1" applyProtection="1">
      <alignment horizontal="left" shrinkToFit="1"/>
      <protection locked="0"/>
    </xf>
    <xf numFmtId="0" fontId="6" fillId="8" borderId="14" xfId="0" applyFont="1" applyFill="1" applyBorder="1" applyAlignment="1" applyProtection="1">
      <alignment horizontal="left" shrinkToFit="1"/>
      <protection locked="0"/>
    </xf>
    <xf numFmtId="0" fontId="6" fillId="2" borderId="18" xfId="0" applyFont="1" applyFill="1" applyBorder="1" applyAlignment="1" applyProtection="1">
      <alignment horizontal="left" shrinkToFit="1"/>
      <protection locked="0"/>
    </xf>
    <xf numFmtId="0" fontId="6" fillId="2" borderId="14" xfId="0" applyFont="1" applyFill="1" applyBorder="1" applyAlignment="1" applyProtection="1">
      <alignment horizontal="left" shrinkToFit="1"/>
      <protection locked="0"/>
    </xf>
    <xf numFmtId="0" fontId="6" fillId="2" borderId="19" xfId="0" applyFont="1" applyFill="1" applyBorder="1" applyAlignment="1" applyProtection="1">
      <alignment horizontal="left" shrinkToFit="1"/>
      <protection locked="0"/>
    </xf>
    <xf numFmtId="44" fontId="6" fillId="0" borderId="0" xfId="0" applyNumberFormat="1" applyFont="1" applyProtection="1"/>
    <xf numFmtId="44" fontId="6" fillId="0" borderId="0" xfId="7" applyFont="1" applyProtection="1"/>
    <xf numFmtId="44" fontId="6" fillId="0" borderId="0" xfId="7" applyFont="1" applyFill="1" applyProtection="1"/>
    <xf numFmtId="0" fontId="6" fillId="18" borderId="0" xfId="0" applyFont="1" applyFill="1" applyProtection="1"/>
    <xf numFmtId="44" fontId="6" fillId="0" borderId="0" xfId="0" applyNumberFormat="1" applyFont="1" applyFill="1" applyProtection="1"/>
    <xf numFmtId="0" fontId="27" fillId="9" borderId="6" xfId="0" applyFont="1" applyFill="1" applyBorder="1" applyAlignment="1" applyProtection="1">
      <alignment vertical="center"/>
    </xf>
    <xf numFmtId="0" fontId="0" fillId="2" borderId="6" xfId="0" applyFont="1" applyFill="1" applyBorder="1" applyAlignment="1" applyProtection="1">
      <alignment shrinkToFit="1"/>
      <protection locked="0"/>
    </xf>
    <xf numFmtId="2" fontId="0" fillId="2" borderId="6" xfId="0" applyNumberFormat="1" applyFont="1" applyFill="1" applyBorder="1" applyAlignment="1" applyProtection="1">
      <alignment shrinkToFit="1"/>
      <protection locked="0"/>
    </xf>
    <xf numFmtId="44" fontId="0" fillId="2" borderId="6" xfId="0" applyNumberFormat="1" applyFont="1" applyFill="1" applyBorder="1" applyAlignment="1" applyProtection="1">
      <alignment shrinkToFit="1"/>
      <protection locked="0"/>
    </xf>
    <xf numFmtId="0" fontId="6" fillId="2" borderId="14" xfId="0" applyFont="1" applyFill="1" applyBorder="1" applyAlignment="1" applyProtection="1">
      <alignment shrinkToFit="1"/>
      <protection locked="0"/>
    </xf>
    <xf numFmtId="0" fontId="6" fillId="2" borderId="19" xfId="0" applyFont="1" applyFill="1" applyBorder="1" applyAlignment="1" applyProtection="1">
      <alignment shrinkToFit="1"/>
      <protection locked="0"/>
    </xf>
    <xf numFmtId="0" fontId="6" fillId="2" borderId="18" xfId="0" applyFont="1" applyFill="1" applyBorder="1" applyAlignment="1" applyProtection="1">
      <alignment shrinkToFit="1"/>
      <protection locked="0"/>
    </xf>
    <xf numFmtId="44" fontId="6" fillId="0" borderId="0" xfId="5" applyNumberFormat="1" applyFont="1" applyProtection="1"/>
    <xf numFmtId="0" fontId="6" fillId="0" borderId="6" xfId="0" applyNumberFormat="1" applyFont="1" applyFill="1" applyBorder="1" applyAlignment="1" applyProtection="1">
      <alignment shrinkToFit="1"/>
      <protection locked="0"/>
    </xf>
    <xf numFmtId="44" fontId="28" fillId="9" borderId="19" xfId="6" applyNumberFormat="1" applyFont="1" applyFill="1" applyBorder="1" applyAlignment="1" applyProtection="1">
      <alignment horizontal="center" vertical="center"/>
    </xf>
    <xf numFmtId="0" fontId="6" fillId="0" borderId="69" xfId="0" applyFont="1" applyBorder="1" applyProtection="1"/>
    <xf numFmtId="44" fontId="6" fillId="0" borderId="0" xfId="7" applyNumberFormat="1" applyFont="1" applyProtection="1"/>
    <xf numFmtId="7" fontId="4" fillId="0" borderId="6" xfId="0" applyNumberFormat="1" applyFont="1" applyFill="1" applyBorder="1"/>
    <xf numFmtId="0" fontId="6" fillId="0" borderId="18" xfId="0" applyFont="1" applyFill="1" applyBorder="1" applyAlignment="1" applyProtection="1">
      <alignment shrinkToFit="1"/>
      <protection locked="0"/>
    </xf>
    <xf numFmtId="0" fontId="6" fillId="0" borderId="14" xfId="0" applyFont="1" applyFill="1" applyBorder="1" applyAlignment="1" applyProtection="1">
      <alignment shrinkToFit="1"/>
      <protection locked="0"/>
    </xf>
    <xf numFmtId="0" fontId="6" fillId="0" borderId="19" xfId="0" applyFont="1" applyFill="1" applyBorder="1" applyAlignment="1" applyProtection="1">
      <alignment shrinkToFit="1"/>
      <protection locked="0"/>
    </xf>
    <xf numFmtId="0" fontId="0" fillId="0" borderId="6" xfId="0" applyFont="1" applyFill="1" applyBorder="1" applyAlignment="1" applyProtection="1">
      <alignment shrinkToFit="1"/>
      <protection locked="0"/>
    </xf>
    <xf numFmtId="0" fontId="0" fillId="0" borderId="6" xfId="0" applyFont="1" applyFill="1" applyBorder="1" applyAlignment="1" applyProtection="1">
      <alignment wrapText="1" shrinkToFit="1"/>
      <protection locked="0"/>
    </xf>
    <xf numFmtId="44" fontId="0" fillId="0" borderId="6" xfId="0" applyNumberFormat="1" applyFont="1" applyFill="1" applyBorder="1" applyAlignment="1" applyProtection="1">
      <alignment shrinkToFit="1"/>
      <protection locked="0"/>
    </xf>
    <xf numFmtId="0" fontId="0" fillId="8" borderId="6" xfId="0" applyFont="1" applyFill="1" applyBorder="1" applyAlignment="1" applyProtection="1">
      <alignment shrinkToFit="1"/>
      <protection locked="0"/>
    </xf>
    <xf numFmtId="2" fontId="0" fillId="8" borderId="6" xfId="0" applyNumberFormat="1" applyFont="1" applyFill="1" applyBorder="1" applyAlignment="1" applyProtection="1">
      <alignment shrinkToFit="1"/>
      <protection locked="0"/>
    </xf>
    <xf numFmtId="44" fontId="0" fillId="8" borderId="6" xfId="0" applyNumberFormat="1" applyFont="1" applyFill="1" applyBorder="1" applyAlignment="1" applyProtection="1">
      <alignment shrinkToFit="1"/>
      <protection locked="0"/>
    </xf>
    <xf numFmtId="44" fontId="6" fillId="8" borderId="16" xfId="1" applyFont="1" applyFill="1" applyBorder="1" applyProtection="1"/>
    <xf numFmtId="2" fontId="6" fillId="2" borderId="6" xfId="6" applyNumberFormat="1" applyFont="1" applyFill="1" applyBorder="1" applyAlignment="1" applyProtection="1">
      <alignment shrinkToFit="1"/>
      <protection locked="0"/>
    </xf>
    <xf numFmtId="7" fontId="2" fillId="0" borderId="6" xfId="0" applyNumberFormat="1" applyFont="1" applyFill="1" applyBorder="1"/>
    <xf numFmtId="44" fontId="6" fillId="18" borderId="0" xfId="0" applyNumberFormat="1" applyFont="1" applyFill="1" applyProtection="1"/>
    <xf numFmtId="2" fontId="0" fillId="0" borderId="6" xfId="0" applyNumberFormat="1" applyFont="1" applyFill="1" applyBorder="1" applyAlignment="1" applyProtection="1">
      <alignment shrinkToFit="1"/>
      <protection locked="0"/>
    </xf>
    <xf numFmtId="2" fontId="6" fillId="0" borderId="6" xfId="0" applyNumberFormat="1" applyFont="1" applyFill="1" applyBorder="1" applyAlignment="1" applyProtection="1">
      <alignment shrinkToFit="1"/>
      <protection locked="0"/>
    </xf>
    <xf numFmtId="8" fontId="0" fillId="0" borderId="0" xfId="7" applyNumberFormat="1" applyFont="1"/>
    <xf numFmtId="8" fontId="0" fillId="0" borderId="0" xfId="0" applyNumberFormat="1"/>
    <xf numFmtId="8" fontId="0" fillId="0" borderId="0" xfId="7" applyNumberFormat="1" applyFont="1" applyFill="1"/>
    <xf numFmtId="4" fontId="6" fillId="0" borderId="0" xfId="0" applyNumberFormat="1" applyFont="1" applyProtection="1"/>
    <xf numFmtId="0" fontId="6" fillId="8" borderId="6" xfId="0" applyNumberFormat="1" applyFont="1" applyFill="1" applyBorder="1" applyAlignment="1" applyProtection="1">
      <alignment shrinkToFit="1"/>
      <protection locked="0"/>
    </xf>
    <xf numFmtId="0" fontId="6" fillId="0" borderId="18" xfId="0" applyFont="1" applyFill="1" applyBorder="1" applyAlignment="1" applyProtection="1">
      <alignment shrinkToFit="1"/>
      <protection locked="0"/>
    </xf>
    <xf numFmtId="0" fontId="6" fillId="0" borderId="14" xfId="0" applyFont="1" applyFill="1" applyBorder="1" applyAlignment="1" applyProtection="1">
      <alignment shrinkToFit="1"/>
      <protection locked="0"/>
    </xf>
    <xf numFmtId="0" fontId="6" fillId="0" borderId="19" xfId="0" applyFont="1" applyFill="1" applyBorder="1" applyAlignment="1" applyProtection="1">
      <alignment shrinkToFit="1"/>
      <protection locked="0"/>
    </xf>
    <xf numFmtId="44" fontId="6" fillId="2" borderId="6" xfId="5" applyNumberFormat="1" applyFont="1" applyFill="1" applyBorder="1" applyAlignment="1" applyProtection="1">
      <alignment shrinkToFit="1"/>
      <protection locked="0"/>
    </xf>
    <xf numFmtId="0" fontId="6" fillId="2" borderId="6" xfId="5" applyFont="1" applyFill="1" applyBorder="1" applyAlignment="1" applyProtection="1">
      <alignment shrinkToFit="1"/>
      <protection locked="0"/>
    </xf>
    <xf numFmtId="3" fontId="6" fillId="0" borderId="0" xfId="5" applyNumberFormat="1" applyFont="1" applyProtection="1"/>
    <xf numFmtId="0" fontId="6" fillId="27" borderId="0" xfId="5" applyFont="1" applyFill="1" applyProtection="1"/>
    <xf numFmtId="44" fontId="6" fillId="27" borderId="6" xfId="5" applyNumberFormat="1" applyFont="1" applyFill="1" applyBorder="1" applyAlignment="1" applyProtection="1">
      <alignment shrinkToFit="1"/>
      <protection locked="0"/>
    </xf>
    <xf numFmtId="0" fontId="6" fillId="27" borderId="6" xfId="5" applyFont="1" applyFill="1" applyBorder="1" applyAlignment="1" applyProtection="1">
      <alignment shrinkToFit="1"/>
      <protection locked="0"/>
    </xf>
    <xf numFmtId="0" fontId="6" fillId="26" borderId="0" xfId="5" applyFont="1" applyFill="1" applyProtection="1"/>
    <xf numFmtId="44" fontId="6" fillId="26" borderId="6" xfId="5" applyNumberFormat="1" applyFont="1" applyFill="1" applyBorder="1" applyAlignment="1" applyProtection="1">
      <alignment shrinkToFit="1"/>
      <protection locked="0"/>
    </xf>
    <xf numFmtId="0" fontId="6" fillId="26" borderId="6" xfId="5" applyFont="1" applyFill="1" applyBorder="1" applyAlignment="1" applyProtection="1">
      <alignment shrinkToFit="1"/>
      <protection locked="0"/>
    </xf>
    <xf numFmtId="0" fontId="6" fillId="18" borderId="0" xfId="5" applyFont="1" applyFill="1" applyProtection="1"/>
    <xf numFmtId="44" fontId="6" fillId="18" borderId="0" xfId="5" applyNumberFormat="1" applyFont="1" applyFill="1" applyProtection="1"/>
    <xf numFmtId="44" fontId="6" fillId="18" borderId="6" xfId="5" applyNumberFormat="1" applyFont="1" applyFill="1" applyBorder="1" applyAlignment="1" applyProtection="1">
      <alignment shrinkToFit="1"/>
      <protection locked="0"/>
    </xf>
    <xf numFmtId="0" fontId="6" fillId="18" borderId="6" xfId="5" applyFont="1" applyFill="1" applyBorder="1" applyAlignment="1" applyProtection="1">
      <alignment shrinkToFit="1"/>
      <protection locked="0"/>
    </xf>
    <xf numFmtId="44" fontId="6" fillId="0" borderId="6" xfId="5" applyNumberFormat="1" applyFont="1" applyFill="1" applyBorder="1" applyAlignment="1" applyProtection="1">
      <alignment shrinkToFit="1"/>
      <protection locked="0"/>
    </xf>
    <xf numFmtId="0" fontId="6" fillId="0" borderId="6" xfId="5" applyFont="1" applyFill="1" applyBorder="1" applyAlignment="1" applyProtection="1">
      <alignment shrinkToFit="1"/>
      <protection locked="0"/>
    </xf>
    <xf numFmtId="0" fontId="51" fillId="0" borderId="0" xfId="5" applyFont="1" applyFill="1" applyProtection="1"/>
    <xf numFmtId="44" fontId="51" fillId="0" borderId="6" xfId="5" applyNumberFormat="1" applyFont="1" applyFill="1" applyBorder="1" applyAlignment="1" applyProtection="1">
      <alignment shrinkToFit="1"/>
      <protection locked="0"/>
    </xf>
    <xf numFmtId="0" fontId="51" fillId="0" borderId="6" xfId="5" applyFont="1" applyFill="1" applyBorder="1" applyAlignment="1" applyProtection="1">
      <alignment shrinkToFit="1"/>
      <protection locked="0"/>
    </xf>
    <xf numFmtId="0" fontId="6" fillId="8" borderId="0" xfId="5" applyFont="1" applyFill="1" applyProtection="1"/>
    <xf numFmtId="44" fontId="6" fillId="8" borderId="6" xfId="5" applyNumberFormat="1" applyFont="1" applyFill="1" applyBorder="1" applyAlignment="1" applyProtection="1">
      <alignment shrinkToFit="1"/>
      <protection locked="0"/>
    </xf>
    <xf numFmtId="0" fontId="6" fillId="8" borderId="6" xfId="5" applyFont="1" applyFill="1" applyBorder="1" applyAlignment="1" applyProtection="1">
      <alignment shrinkToFit="1"/>
      <protection locked="0"/>
    </xf>
    <xf numFmtId="0" fontId="6" fillId="27" borderId="19" xfId="5" applyFont="1" applyFill="1" applyBorder="1" applyAlignment="1" applyProtection="1">
      <alignment shrinkToFit="1"/>
      <protection locked="0"/>
    </xf>
    <xf numFmtId="0" fontId="6" fillId="27" borderId="14" xfId="5" applyFont="1" applyFill="1" applyBorder="1" applyAlignment="1" applyProtection="1">
      <alignment shrinkToFit="1"/>
      <protection locked="0"/>
    </xf>
    <xf numFmtId="0" fontId="6" fillId="27" borderId="18" xfId="5" applyFont="1" applyFill="1" applyBorder="1" applyAlignment="1" applyProtection="1">
      <alignment shrinkToFit="1"/>
      <protection locked="0"/>
    </xf>
    <xf numFmtId="44" fontId="28" fillId="9" borderId="6" xfId="28" applyNumberFormat="1" applyFont="1" applyFill="1" applyBorder="1" applyAlignment="1" applyProtection="1">
      <alignment horizontal="center" vertical="center"/>
    </xf>
    <xf numFmtId="165" fontId="28" fillId="9" borderId="6" xfId="5" applyNumberFormat="1" applyFont="1" applyFill="1" applyBorder="1" applyAlignment="1" applyProtection="1">
      <alignment vertical="center"/>
    </xf>
    <xf numFmtId="0" fontId="27" fillId="9" borderId="6" xfId="5" applyFont="1" applyFill="1" applyBorder="1" applyAlignment="1" applyProtection="1">
      <alignment vertical="center"/>
    </xf>
    <xf numFmtId="2" fontId="6" fillId="2" borderId="6" xfId="5" applyNumberFormat="1" applyFont="1" applyFill="1" applyBorder="1" applyAlignment="1" applyProtection="1">
      <alignment shrinkToFit="1"/>
      <protection locked="0"/>
    </xf>
    <xf numFmtId="2" fontId="6" fillId="0" borderId="6" xfId="5" applyNumberFormat="1" applyFont="1" applyFill="1" applyBorder="1" applyAlignment="1" applyProtection="1">
      <alignment shrinkToFit="1"/>
      <protection locked="0"/>
    </xf>
    <xf numFmtId="0" fontId="0" fillId="0" borderId="19" xfId="0" applyFont="1" applyFill="1" applyBorder="1" applyAlignment="1" applyProtection="1">
      <alignment horizontal="left" shrinkToFit="1"/>
      <protection locked="0"/>
    </xf>
    <xf numFmtId="0" fontId="6" fillId="28" borderId="0" xfId="0" applyFont="1" applyFill="1" applyProtection="1"/>
    <xf numFmtId="8" fontId="6" fillId="8" borderId="0" xfId="0" applyNumberFormat="1" applyFont="1" applyFill="1" applyProtection="1"/>
    <xf numFmtId="0" fontId="6" fillId="18" borderId="6" xfId="0" applyFont="1" applyFill="1" applyBorder="1" applyAlignment="1" applyProtection="1">
      <alignment shrinkToFit="1"/>
      <protection locked="0"/>
    </xf>
    <xf numFmtId="2" fontId="0" fillId="18" borderId="6" xfId="0" applyNumberFormat="1" applyFont="1" applyFill="1" applyBorder="1" applyAlignment="1" applyProtection="1">
      <alignment shrinkToFit="1"/>
      <protection locked="0"/>
    </xf>
    <xf numFmtId="0" fontId="6" fillId="19" borderId="6" xfId="0" applyFont="1" applyFill="1" applyBorder="1" applyAlignment="1" applyProtection="1">
      <alignment shrinkToFit="1"/>
      <protection locked="0"/>
    </xf>
    <xf numFmtId="44" fontId="6" fillId="19" borderId="6" xfId="0" applyNumberFormat="1" applyFont="1" applyFill="1" applyBorder="1" applyAlignment="1" applyProtection="1">
      <alignment shrinkToFit="1"/>
      <protection locked="0"/>
    </xf>
    <xf numFmtId="0" fontId="6" fillId="19" borderId="0" xfId="0" applyFont="1" applyFill="1" applyProtection="1"/>
    <xf numFmtId="0" fontId="6" fillId="0" borderId="18" xfId="0" applyFont="1" applyFill="1" applyBorder="1" applyAlignment="1" applyProtection="1">
      <alignment shrinkToFit="1"/>
      <protection locked="0"/>
    </xf>
    <xf numFmtId="0" fontId="6" fillId="0" borderId="14" xfId="0" applyFont="1" applyFill="1" applyBorder="1" applyAlignment="1" applyProtection="1">
      <alignment shrinkToFit="1"/>
      <protection locked="0"/>
    </xf>
    <xf numFmtId="0" fontId="6" fillId="0" borderId="19" xfId="0" applyFont="1" applyFill="1" applyBorder="1" applyAlignment="1" applyProtection="1">
      <alignment shrinkToFit="1"/>
      <protection locked="0"/>
    </xf>
    <xf numFmtId="8" fontId="47" fillId="0" borderId="0" xfId="7" applyNumberFormat="1" applyFont="1" applyFill="1"/>
    <xf numFmtId="0" fontId="47" fillId="18" borderId="18" xfId="0" applyFont="1" applyFill="1" applyBorder="1" applyAlignment="1" applyProtection="1">
      <alignment shrinkToFit="1"/>
      <protection locked="0"/>
    </xf>
    <xf numFmtId="0" fontId="47" fillId="18" borderId="19" xfId="0" applyFont="1" applyFill="1" applyBorder="1" applyAlignment="1" applyProtection="1">
      <alignment shrinkToFit="1"/>
      <protection locked="0"/>
    </xf>
    <xf numFmtId="0" fontId="47" fillId="18" borderId="6" xfId="0" applyFont="1" applyFill="1" applyBorder="1" applyAlignment="1" applyProtection="1">
      <alignment shrinkToFit="1"/>
      <protection locked="0"/>
    </xf>
    <xf numFmtId="2" fontId="47" fillId="18" borderId="6" xfId="0" applyNumberFormat="1" applyFont="1" applyFill="1" applyBorder="1" applyAlignment="1" applyProtection="1">
      <alignment shrinkToFit="1"/>
      <protection locked="0"/>
    </xf>
    <xf numFmtId="8" fontId="47" fillId="18" borderId="0" xfId="7" applyNumberFormat="1" applyFont="1" applyFill="1"/>
    <xf numFmtId="8" fontId="6" fillId="18" borderId="0" xfId="0" applyNumberFormat="1" applyFont="1" applyFill="1" applyProtection="1"/>
    <xf numFmtId="0" fontId="47" fillId="18" borderId="14" xfId="0" applyFont="1" applyFill="1" applyBorder="1" applyAlignment="1" applyProtection="1">
      <alignment shrinkToFit="1"/>
      <protection locked="0"/>
    </xf>
    <xf numFmtId="44" fontId="47" fillId="18" borderId="6" xfId="0" applyNumberFormat="1" applyFont="1" applyFill="1" applyBorder="1" applyAlignment="1" applyProtection="1">
      <alignment shrinkToFit="1"/>
      <protection locked="0"/>
    </xf>
    <xf numFmtId="0" fontId="47" fillId="18" borderId="0" xfId="0" applyFont="1" applyFill="1" applyProtection="1"/>
    <xf numFmtId="44" fontId="48" fillId="0" borderId="6" xfId="1" applyFont="1" applyFill="1" applyBorder="1"/>
    <xf numFmtId="8" fontId="47" fillId="18" borderId="0" xfId="0" applyNumberFormat="1" applyFont="1" applyFill="1"/>
    <xf numFmtId="8" fontId="6" fillId="0" borderId="0" xfId="0" applyNumberFormat="1" applyFont="1" applyFill="1" applyProtection="1"/>
    <xf numFmtId="8" fontId="47" fillId="18" borderId="0" xfId="0" applyNumberFormat="1" applyFont="1" applyFill="1" applyProtection="1"/>
    <xf numFmtId="43" fontId="6" fillId="0" borderId="0" xfId="29" applyFont="1" applyProtection="1"/>
    <xf numFmtId="43" fontId="6" fillId="0" borderId="0" xfId="5" applyNumberFormat="1" applyFont="1" applyProtection="1"/>
    <xf numFmtId="0" fontId="6" fillId="18" borderId="18" xfId="0" applyFont="1" applyFill="1" applyBorder="1" applyAlignment="1" applyProtection="1">
      <alignment shrinkToFit="1"/>
      <protection locked="0"/>
    </xf>
    <xf numFmtId="0" fontId="6" fillId="18" borderId="14" xfId="0" applyFont="1" applyFill="1" applyBorder="1" applyAlignment="1" applyProtection="1">
      <alignment shrinkToFit="1"/>
      <protection locked="0"/>
    </xf>
    <xf numFmtId="0" fontId="6" fillId="18" borderId="19" xfId="0" applyFont="1" applyFill="1" applyBorder="1" applyAlignment="1" applyProtection="1">
      <alignment shrinkToFit="1"/>
      <protection locked="0"/>
    </xf>
    <xf numFmtId="0" fontId="19" fillId="0" borderId="6" xfId="5" applyFont="1" applyFill="1" applyBorder="1" applyAlignment="1" applyProtection="1">
      <alignment horizontal="center" shrinkToFit="1"/>
    </xf>
    <xf numFmtId="166" fontId="6" fillId="0" borderId="0" xfId="5" applyNumberFormat="1" applyFont="1" applyProtection="1"/>
    <xf numFmtId="0" fontId="19" fillId="18" borderId="0" xfId="0" applyFont="1" applyFill="1" applyProtection="1"/>
    <xf numFmtId="0" fontId="6" fillId="18" borderId="6" xfId="0" applyNumberFormat="1" applyFont="1" applyFill="1" applyBorder="1" applyAlignment="1" applyProtection="1">
      <alignment shrinkToFit="1"/>
      <protection locked="0"/>
    </xf>
    <xf numFmtId="44" fontId="58" fillId="18" borderId="6" xfId="1" applyFont="1" applyFill="1" applyBorder="1"/>
    <xf numFmtId="0" fontId="57" fillId="18" borderId="6" xfId="0" applyFont="1" applyFill="1" applyBorder="1" applyAlignment="1" applyProtection="1">
      <alignment shrinkToFit="1"/>
      <protection locked="0"/>
    </xf>
    <xf numFmtId="0" fontId="57" fillId="18" borderId="0" xfId="0" applyFont="1" applyFill="1" applyProtection="1"/>
    <xf numFmtId="0" fontId="17" fillId="14" borderId="6" xfId="2" applyFont="1" applyFill="1" applyBorder="1" applyAlignment="1" applyProtection="1">
      <alignment horizontal="left" vertical="center" shrinkToFit="1"/>
    </xf>
    <xf numFmtId="0" fontId="17" fillId="8" borderId="6" xfId="2" applyFont="1" applyFill="1" applyBorder="1" applyAlignment="1" applyProtection="1">
      <alignment horizontal="left" vertical="center" shrinkToFit="1"/>
    </xf>
    <xf numFmtId="0" fontId="17" fillId="13" borderId="6" xfId="2" applyFont="1" applyFill="1" applyBorder="1" applyAlignment="1" applyProtection="1">
      <alignment horizontal="left" vertical="center" shrinkToFit="1"/>
    </xf>
    <xf numFmtId="0" fontId="17" fillId="15" borderId="6" xfId="2" applyFont="1" applyFill="1" applyBorder="1" applyAlignment="1" applyProtection="1">
      <alignment vertical="center"/>
    </xf>
    <xf numFmtId="0" fontId="17" fillId="15" borderId="6" xfId="2" applyFont="1" applyFill="1" applyBorder="1" applyAlignment="1" applyProtection="1">
      <alignment horizontal="left" vertical="center" shrinkToFit="1"/>
    </xf>
    <xf numFmtId="0" fontId="17" fillId="17" borderId="6" xfId="2" applyFont="1" applyFill="1" applyBorder="1" applyAlignment="1" applyProtection="1">
      <alignment vertical="center"/>
    </xf>
    <xf numFmtId="0" fontId="17" fillId="25" borderId="18" xfId="2" applyFont="1" applyFill="1" applyBorder="1" applyAlignment="1" applyProtection="1">
      <alignment horizontal="left" vertical="center"/>
    </xf>
    <xf numFmtId="0" fontId="17" fillId="25" borderId="14" xfId="2" applyFont="1" applyFill="1" applyBorder="1" applyAlignment="1" applyProtection="1">
      <alignment horizontal="left" vertical="center"/>
    </xf>
    <xf numFmtId="0" fontId="17" fillId="25" borderId="19" xfId="2" applyFont="1" applyFill="1" applyBorder="1" applyAlignment="1" applyProtection="1">
      <alignment horizontal="left" vertical="center"/>
    </xf>
    <xf numFmtId="0" fontId="17" fillId="18" borderId="6" xfId="2" applyFont="1" applyFill="1" applyBorder="1" applyAlignment="1" applyProtection="1">
      <alignment horizontal="left" vertical="center" shrinkToFit="1"/>
    </xf>
    <xf numFmtId="0" fontId="17" fillId="16" borderId="6" xfId="2" applyFont="1" applyFill="1" applyBorder="1" applyAlignment="1" applyProtection="1">
      <alignment horizontal="left" vertical="center" shrinkToFit="1"/>
    </xf>
    <xf numFmtId="0" fontId="17" fillId="16" borderId="6" xfId="2" applyFont="1" applyFill="1" applyBorder="1" applyAlignment="1" applyProtection="1">
      <alignment vertical="center"/>
    </xf>
    <xf numFmtId="0" fontId="17" fillId="19" borderId="6" xfId="2" applyFont="1" applyFill="1" applyBorder="1" applyAlignment="1" applyProtection="1">
      <alignment horizontal="left" vertical="center" shrinkToFit="1"/>
    </xf>
    <xf numFmtId="0" fontId="7" fillId="2" borderId="31" xfId="5" applyFont="1" applyFill="1" applyBorder="1" applyAlignment="1" applyProtection="1">
      <alignment horizontal="center" vertical="center" wrapText="1"/>
    </xf>
    <xf numFmtId="0" fontId="7" fillId="2" borderId="32" xfId="5" applyFont="1" applyFill="1" applyBorder="1" applyAlignment="1" applyProtection="1">
      <alignment horizontal="center" vertical="center" wrapText="1"/>
    </xf>
    <xf numFmtId="0" fontId="7" fillId="2" borderId="28" xfId="5" applyFont="1" applyFill="1" applyBorder="1" applyAlignment="1" applyProtection="1">
      <alignment horizontal="center" vertical="center" wrapText="1"/>
    </xf>
    <xf numFmtId="0" fontId="7" fillId="2" borderId="1" xfId="5" applyFont="1" applyFill="1" applyBorder="1" applyAlignment="1" applyProtection="1">
      <alignment horizontal="center" vertical="center" wrapText="1"/>
    </xf>
    <xf numFmtId="0" fontId="7" fillId="2" borderId="0" xfId="5" applyFont="1" applyFill="1" applyBorder="1" applyAlignment="1" applyProtection="1">
      <alignment horizontal="center" vertical="center" wrapText="1"/>
    </xf>
    <xf numFmtId="0" fontId="7" fillId="2" borderId="2" xfId="5" applyFont="1" applyFill="1" applyBorder="1" applyAlignment="1" applyProtection="1">
      <alignment horizontal="center" vertical="center" wrapText="1"/>
    </xf>
    <xf numFmtId="0" fontId="6" fillId="0" borderId="0" xfId="5" applyFont="1" applyBorder="1" applyAlignment="1" applyProtection="1">
      <alignment horizontal="center"/>
    </xf>
    <xf numFmtId="0" fontId="6" fillId="8" borderId="0" xfId="5" applyFont="1" applyFill="1" applyBorder="1" applyAlignment="1" applyProtection="1">
      <alignment horizontal="center"/>
    </xf>
    <xf numFmtId="0" fontId="17" fillId="6" borderId="6" xfId="3" applyFont="1" applyFill="1" applyBorder="1" applyAlignment="1" applyProtection="1">
      <alignment horizontal="left" vertical="center" shrinkToFit="1"/>
    </xf>
    <xf numFmtId="0" fontId="17" fillId="19" borderId="6" xfId="2" applyFont="1" applyFill="1" applyBorder="1" applyAlignment="1" applyProtection="1">
      <alignment vertical="center"/>
    </xf>
    <xf numFmtId="0" fontId="17" fillId="20" borderId="6" xfId="2" applyFont="1" applyFill="1" applyBorder="1" applyAlignment="1" applyProtection="1">
      <alignment horizontal="left" vertical="center" shrinkToFit="1"/>
    </xf>
    <xf numFmtId="0" fontId="12" fillId="2" borderId="0" xfId="5" applyFont="1" applyFill="1" applyBorder="1" applyAlignment="1" applyProtection="1">
      <alignment horizontal="center" vertical="center" wrapText="1"/>
    </xf>
    <xf numFmtId="0" fontId="8" fillId="5" borderId="35" xfId="5" applyFont="1" applyFill="1" applyBorder="1" applyAlignment="1" applyProtection="1">
      <alignment horizontal="center" vertical="center"/>
    </xf>
    <xf numFmtId="0" fontId="8" fillId="5" borderId="36" xfId="5" applyFont="1" applyFill="1" applyBorder="1" applyAlignment="1" applyProtection="1">
      <alignment horizontal="center" vertical="center"/>
    </xf>
    <xf numFmtId="0" fontId="8" fillId="5" borderId="34" xfId="5" applyFont="1" applyFill="1" applyBorder="1" applyAlignment="1" applyProtection="1">
      <alignment horizontal="center" vertical="center"/>
    </xf>
    <xf numFmtId="0" fontId="8" fillId="5" borderId="17" xfId="5" applyFont="1" applyFill="1" applyBorder="1" applyAlignment="1" applyProtection="1">
      <alignment horizontal="center" vertical="center"/>
    </xf>
    <xf numFmtId="0" fontId="8" fillId="5" borderId="6" xfId="5" applyFont="1" applyFill="1" applyBorder="1" applyAlignment="1" applyProtection="1">
      <alignment horizontal="center" vertical="center"/>
    </xf>
    <xf numFmtId="0" fontId="8" fillId="5" borderId="30" xfId="5" applyFont="1" applyFill="1" applyBorder="1" applyAlignment="1" applyProtection="1">
      <alignment horizontal="center" vertical="center"/>
    </xf>
    <xf numFmtId="0" fontId="19" fillId="9" borderId="21" xfId="5" applyFont="1" applyFill="1" applyBorder="1" applyAlignment="1" applyProtection="1">
      <alignment horizontal="center"/>
    </xf>
    <xf numFmtId="0" fontId="19" fillId="9" borderId="23" xfId="5" applyFont="1" applyFill="1" applyBorder="1" applyAlignment="1" applyProtection="1">
      <alignment horizontal="center"/>
    </xf>
    <xf numFmtId="0" fontId="19" fillId="9" borderId="6" xfId="5" applyFont="1" applyFill="1" applyBorder="1" applyProtection="1"/>
    <xf numFmtId="0" fontId="19" fillId="9" borderId="24" xfId="5" applyFont="1" applyFill="1" applyBorder="1" applyAlignment="1" applyProtection="1">
      <alignment horizontal="center"/>
    </xf>
    <xf numFmtId="0" fontId="19" fillId="9" borderId="27" xfId="5" applyFont="1" applyFill="1" applyBorder="1" applyAlignment="1" applyProtection="1">
      <alignment horizontal="center"/>
    </xf>
    <xf numFmtId="0" fontId="26" fillId="8" borderId="6" xfId="0" applyFont="1" applyFill="1" applyBorder="1" applyAlignment="1" applyProtection="1">
      <alignment horizontal="center" vertical="center" shrinkToFit="1"/>
      <protection locked="0"/>
    </xf>
    <xf numFmtId="0" fontId="19" fillId="9" borderId="18" xfId="5" applyFont="1" applyFill="1" applyBorder="1" applyProtection="1"/>
    <xf numFmtId="0" fontId="19" fillId="9" borderId="19" xfId="5" applyFont="1" applyFill="1" applyBorder="1" applyProtection="1"/>
    <xf numFmtId="0" fontId="19" fillId="9" borderId="37" xfId="5" applyFont="1" applyFill="1" applyBorder="1" applyAlignment="1" applyProtection="1">
      <alignment horizontal="center"/>
    </xf>
    <xf numFmtId="0" fontId="19" fillId="9" borderId="35" xfId="5" applyFont="1" applyFill="1" applyBorder="1" applyAlignment="1" applyProtection="1">
      <alignment horizontal="center"/>
    </xf>
    <xf numFmtId="0" fontId="19" fillId="9" borderId="33" xfId="5" applyFont="1" applyFill="1" applyBorder="1" applyAlignment="1" applyProtection="1">
      <alignment horizontal="center"/>
    </xf>
    <xf numFmtId="0" fontId="19" fillId="9" borderId="34" xfId="5" applyFont="1" applyFill="1" applyBorder="1" applyAlignment="1" applyProtection="1">
      <alignment horizontal="center"/>
    </xf>
    <xf numFmtId="8" fontId="6" fillId="2" borderId="18" xfId="5" applyNumberFormat="1" applyFont="1" applyFill="1" applyBorder="1" applyAlignment="1" applyProtection="1">
      <alignment horizontal="left" vertical="center" wrapText="1"/>
      <protection locked="0"/>
    </xf>
    <xf numFmtId="44" fontId="6" fillId="2" borderId="19" xfId="5" applyNumberFormat="1" applyFont="1" applyFill="1" applyBorder="1" applyAlignment="1" applyProtection="1">
      <alignment horizontal="left" vertical="center" wrapText="1"/>
      <protection locked="0"/>
    </xf>
    <xf numFmtId="44" fontId="6" fillId="2" borderId="18" xfId="5" applyNumberFormat="1" applyFont="1" applyFill="1" applyBorder="1" applyAlignment="1" applyProtection="1">
      <alignment horizontal="left" vertical="center" wrapText="1"/>
      <protection locked="0"/>
    </xf>
    <xf numFmtId="0" fontId="6" fillId="0" borderId="100" xfId="5" applyFont="1" applyBorder="1" applyAlignment="1" applyProtection="1">
      <alignment horizontal="center"/>
    </xf>
    <xf numFmtId="0" fontId="8" fillId="5" borderId="31" xfId="5" applyFont="1" applyFill="1" applyBorder="1" applyAlignment="1" applyProtection="1">
      <alignment horizontal="center" vertical="center"/>
    </xf>
    <xf numFmtId="0" fontId="8" fillId="5" borderId="32" xfId="5" applyFont="1" applyFill="1" applyBorder="1" applyAlignment="1" applyProtection="1">
      <alignment horizontal="center" vertical="center"/>
    </xf>
    <xf numFmtId="0" fontId="8" fillId="5" borderId="28" xfId="5" applyFont="1" applyFill="1" applyBorder="1" applyAlignment="1" applyProtection="1">
      <alignment horizontal="center" vertical="center"/>
    </xf>
    <xf numFmtId="0" fontId="8" fillId="5" borderId="1" xfId="5" applyFont="1" applyFill="1" applyBorder="1" applyAlignment="1" applyProtection="1">
      <alignment horizontal="center" vertical="center"/>
    </xf>
    <xf numFmtId="0" fontId="8" fillId="5" borderId="0" xfId="5" applyFont="1" applyFill="1" applyBorder="1" applyAlignment="1" applyProtection="1">
      <alignment horizontal="center" vertical="center"/>
    </xf>
    <xf numFmtId="0" fontId="8" fillId="5" borderId="2" xfId="5" applyFont="1" applyFill="1" applyBorder="1" applyAlignment="1" applyProtection="1">
      <alignment horizontal="center" vertical="center"/>
    </xf>
    <xf numFmtId="0" fontId="19" fillId="9" borderId="38" xfId="5" applyFont="1" applyFill="1" applyBorder="1" applyProtection="1"/>
    <xf numFmtId="0" fontId="19" fillId="9" borderId="39" xfId="5" applyFont="1" applyFill="1" applyBorder="1" applyProtection="1"/>
    <xf numFmtId="0" fontId="19" fillId="9" borderId="40" xfId="5" applyFont="1" applyFill="1" applyBorder="1" applyProtection="1"/>
    <xf numFmtId="0" fontId="6" fillId="2" borderId="17" xfId="5" applyFont="1" applyFill="1" applyBorder="1" applyAlignment="1" applyProtection="1">
      <alignment horizontal="left" vertical="top" wrapText="1"/>
      <protection locked="0"/>
    </xf>
    <xf numFmtId="0" fontId="6" fillId="2" borderId="6" xfId="5" applyFont="1" applyFill="1" applyBorder="1" applyAlignment="1" applyProtection="1">
      <alignment horizontal="left" vertical="top" wrapText="1"/>
      <protection locked="0"/>
    </xf>
    <xf numFmtId="0" fontId="6" fillId="2" borderId="30" xfId="5" applyFont="1" applyFill="1" applyBorder="1" applyAlignment="1" applyProtection="1">
      <alignment horizontal="left" vertical="top" wrapText="1"/>
      <protection locked="0"/>
    </xf>
    <xf numFmtId="0" fontId="19" fillId="9" borderId="17" xfId="5" applyFont="1" applyFill="1" applyBorder="1" applyProtection="1"/>
    <xf numFmtId="0" fontId="19" fillId="9" borderId="30" xfId="5" applyFont="1" applyFill="1" applyBorder="1" applyProtection="1"/>
    <xf numFmtId="0" fontId="42" fillId="2" borderId="17" xfId="2" applyFill="1" applyBorder="1" applyAlignment="1" applyProtection="1">
      <alignment horizontal="left" vertical="top" wrapText="1"/>
      <protection locked="0"/>
    </xf>
    <xf numFmtId="49" fontId="6" fillId="2" borderId="41" xfId="5" applyNumberFormat="1" applyFont="1" applyFill="1" applyBorder="1" applyAlignment="1" applyProtection="1">
      <alignment horizontal="left" vertical="top" wrapText="1"/>
      <protection locked="0"/>
    </xf>
    <xf numFmtId="49" fontId="6" fillId="2" borderId="42" xfId="5" applyNumberFormat="1" applyFont="1" applyFill="1" applyBorder="1" applyAlignment="1" applyProtection="1">
      <alignment horizontal="left" vertical="top" wrapText="1"/>
      <protection locked="0"/>
    </xf>
    <xf numFmtId="49" fontId="6" fillId="2" borderId="43" xfId="5" applyNumberFormat="1" applyFont="1" applyFill="1" applyBorder="1" applyAlignment="1" applyProtection="1">
      <alignment horizontal="left" vertical="top" wrapText="1"/>
      <protection locked="0"/>
    </xf>
    <xf numFmtId="0" fontId="6" fillId="2" borderId="41" xfId="5" applyFont="1" applyFill="1" applyBorder="1" applyAlignment="1" applyProtection="1">
      <alignment horizontal="left" vertical="top" wrapText="1"/>
      <protection locked="0"/>
    </xf>
    <xf numFmtId="0" fontId="6" fillId="2" borderId="42" xfId="5" applyFont="1" applyFill="1" applyBorder="1" applyAlignment="1" applyProtection="1">
      <alignment horizontal="left" vertical="top" wrapText="1"/>
      <protection locked="0"/>
    </xf>
    <xf numFmtId="0" fontId="6" fillId="2" borderId="43" xfId="5" applyFont="1" applyFill="1" applyBorder="1" applyAlignment="1" applyProtection="1">
      <alignment horizontal="left" vertical="top" wrapText="1"/>
      <protection locked="0"/>
    </xf>
    <xf numFmtId="0" fontId="19" fillId="9" borderId="44" xfId="5" applyFont="1" applyFill="1" applyBorder="1" applyProtection="1"/>
    <xf numFmtId="0" fontId="6" fillId="2" borderId="45" xfId="5" applyFont="1" applyFill="1" applyBorder="1" applyAlignment="1" applyProtection="1">
      <alignment horizontal="left" vertical="top" wrapText="1"/>
      <protection locked="0"/>
    </xf>
    <xf numFmtId="0" fontId="19" fillId="9" borderId="45" xfId="5" applyFont="1" applyFill="1" applyBorder="1" applyProtection="1"/>
    <xf numFmtId="0" fontId="42" fillId="2" borderId="45" xfId="2" applyFill="1" applyBorder="1" applyAlignment="1" applyProtection="1">
      <alignment horizontal="left" vertical="top" wrapText="1"/>
      <protection locked="0"/>
    </xf>
    <xf numFmtId="0" fontId="19" fillId="9" borderId="35" xfId="5" applyFont="1" applyFill="1" applyBorder="1" applyProtection="1"/>
    <xf numFmtId="0" fontId="19" fillId="9" borderId="36" xfId="5" applyFont="1" applyFill="1" applyBorder="1" applyProtection="1"/>
    <xf numFmtId="0" fontId="19" fillId="9" borderId="34" xfId="5" applyFont="1" applyFill="1" applyBorder="1" applyProtection="1"/>
    <xf numFmtId="0" fontId="19" fillId="9" borderId="46" xfId="5" applyFont="1" applyFill="1" applyBorder="1" applyProtection="1"/>
    <xf numFmtId="0" fontId="6" fillId="2" borderId="47" xfId="5" applyFont="1" applyFill="1" applyBorder="1" applyAlignment="1" applyProtection="1">
      <alignment horizontal="left" vertical="top" wrapText="1"/>
      <protection locked="0"/>
    </xf>
    <xf numFmtId="0" fontId="20" fillId="2" borderId="25" xfId="5" applyFont="1" applyFill="1" applyBorder="1" applyAlignment="1" applyProtection="1">
      <alignment horizontal="left" vertical="center" wrapText="1"/>
    </xf>
    <xf numFmtId="0" fontId="20" fillId="2" borderId="21" xfId="5" applyFont="1" applyFill="1" applyBorder="1" applyAlignment="1" applyProtection="1">
      <alignment horizontal="left" vertical="center" wrapText="1"/>
    </xf>
    <xf numFmtId="0" fontId="20" fillId="2" borderId="24" xfId="5" applyFont="1" applyFill="1" applyBorder="1" applyAlignment="1" applyProtection="1">
      <alignment horizontal="left" vertical="center" wrapText="1"/>
    </xf>
    <xf numFmtId="0" fontId="20" fillId="2" borderId="1" xfId="5" applyFont="1" applyFill="1" applyBorder="1" applyAlignment="1" applyProtection="1">
      <alignment horizontal="left" vertical="center" wrapText="1"/>
    </xf>
    <xf numFmtId="0" fontId="20" fillId="2" borderId="0" xfId="5" applyFont="1" applyFill="1" applyBorder="1" applyAlignment="1" applyProtection="1">
      <alignment horizontal="left" vertical="center" wrapText="1"/>
    </xf>
    <xf numFmtId="0" fontId="20" fillId="2" borderId="2" xfId="5" applyFont="1" applyFill="1" applyBorder="1" applyAlignment="1" applyProtection="1">
      <alignment horizontal="left" vertical="center" wrapText="1"/>
    </xf>
    <xf numFmtId="0" fontId="20" fillId="2" borderId="26" xfId="5" applyFont="1" applyFill="1" applyBorder="1" applyAlignment="1" applyProtection="1">
      <alignment horizontal="left" vertical="center" wrapText="1"/>
    </xf>
    <xf numFmtId="0" fontId="20" fillId="2" borderId="23" xfId="5" applyFont="1" applyFill="1" applyBorder="1" applyAlignment="1" applyProtection="1">
      <alignment horizontal="left" vertical="center" wrapText="1"/>
    </xf>
    <xf numFmtId="0" fontId="20" fillId="2" borderId="27" xfId="5" applyFont="1" applyFill="1" applyBorder="1" applyAlignment="1" applyProtection="1">
      <alignment horizontal="left" vertical="center" wrapText="1"/>
    </xf>
    <xf numFmtId="0" fontId="19" fillId="9" borderId="48" xfId="5" applyFont="1" applyFill="1" applyBorder="1" applyProtection="1"/>
    <xf numFmtId="0" fontId="19" fillId="9" borderId="25" xfId="5" applyFont="1" applyFill="1" applyBorder="1" applyAlignment="1" applyProtection="1">
      <alignment horizontal="center"/>
    </xf>
    <xf numFmtId="0" fontId="19" fillId="9" borderId="26" xfId="5" applyFont="1" applyFill="1" applyBorder="1" applyAlignment="1" applyProtection="1">
      <alignment horizontal="center"/>
    </xf>
    <xf numFmtId="0" fontId="19" fillId="9" borderId="6" xfId="5" applyFont="1" applyFill="1" applyBorder="1" applyAlignment="1" applyProtection="1">
      <alignment horizontal="left"/>
    </xf>
    <xf numFmtId="0" fontId="19" fillId="9" borderId="50" xfId="5" applyFont="1" applyFill="1" applyBorder="1" applyAlignment="1" applyProtection="1">
      <alignment horizontal="center"/>
    </xf>
    <xf numFmtId="0" fontId="19" fillId="9" borderId="36" xfId="5" applyFont="1" applyFill="1" applyBorder="1" applyAlignment="1" applyProtection="1">
      <alignment horizontal="center"/>
    </xf>
    <xf numFmtId="0" fontId="19" fillId="9" borderId="18" xfId="5" applyFont="1" applyFill="1" applyBorder="1" applyAlignment="1" applyProtection="1">
      <alignment horizontal="left"/>
    </xf>
    <xf numFmtId="0" fontId="19" fillId="9" borderId="19" xfId="5" applyFont="1" applyFill="1" applyBorder="1" applyAlignment="1" applyProtection="1">
      <alignment horizontal="left"/>
    </xf>
    <xf numFmtId="0" fontId="6" fillId="2" borderId="19" xfId="5" applyFont="1" applyFill="1" applyBorder="1" applyAlignment="1" applyProtection="1">
      <alignment horizontal="left" vertical="top" wrapText="1"/>
    </xf>
    <xf numFmtId="0" fontId="6" fillId="2" borderId="6" xfId="5" applyFont="1" applyFill="1" applyBorder="1" applyAlignment="1" applyProtection="1">
      <alignment horizontal="left" vertical="top" wrapText="1"/>
    </xf>
    <xf numFmtId="0" fontId="6" fillId="2" borderId="30" xfId="5" applyFont="1" applyFill="1" applyBorder="1" applyAlignment="1" applyProtection="1">
      <alignment horizontal="left" vertical="top" wrapText="1"/>
    </xf>
    <xf numFmtId="0" fontId="6" fillId="2" borderId="49" xfId="5" applyFont="1" applyFill="1" applyBorder="1" applyAlignment="1" applyProtection="1">
      <alignment horizontal="left" vertical="top" wrapText="1"/>
    </xf>
    <xf numFmtId="0" fontId="6" fillId="2" borderId="42" xfId="5" applyFont="1" applyFill="1" applyBorder="1" applyAlignment="1" applyProtection="1">
      <alignment horizontal="left" vertical="top" wrapText="1"/>
    </xf>
    <xf numFmtId="0" fontId="6" fillId="2" borderId="43" xfId="5" applyFont="1" applyFill="1" applyBorder="1" applyAlignment="1" applyProtection="1">
      <alignment horizontal="left" vertical="top" wrapText="1"/>
    </xf>
    <xf numFmtId="0" fontId="6" fillId="11" borderId="41" xfId="5" applyFont="1" applyFill="1" applyBorder="1" applyAlignment="1" applyProtection="1">
      <alignment horizontal="left" vertical="top" wrapText="1"/>
    </xf>
    <xf numFmtId="0" fontId="6" fillId="11" borderId="42" xfId="5" applyFont="1" applyFill="1" applyBorder="1" applyAlignment="1" applyProtection="1">
      <alignment horizontal="left" vertical="top" wrapText="1"/>
    </xf>
    <xf numFmtId="164" fontId="6" fillId="11" borderId="42" xfId="5" applyNumberFormat="1" applyFont="1" applyFill="1" applyBorder="1" applyAlignment="1" applyProtection="1">
      <alignment horizontal="right" vertical="top" wrapText="1"/>
    </xf>
    <xf numFmtId="164" fontId="6" fillId="11" borderId="43" xfId="5" applyNumberFormat="1" applyFont="1" applyFill="1" applyBorder="1" applyAlignment="1" applyProtection="1">
      <alignment horizontal="right" vertical="top" wrapText="1"/>
    </xf>
    <xf numFmtId="0" fontId="23" fillId="0" borderId="0" xfId="5" applyFont="1" applyBorder="1" applyAlignment="1" applyProtection="1">
      <alignment horizontal="center" wrapText="1"/>
    </xf>
    <xf numFmtId="0" fontId="6" fillId="0" borderId="0" xfId="5" applyBorder="1" applyProtection="1"/>
    <xf numFmtId="0" fontId="43" fillId="2" borderId="31" xfId="5" applyFont="1" applyFill="1" applyBorder="1" applyAlignment="1" applyProtection="1">
      <alignment horizontal="center" vertical="center" wrapText="1"/>
    </xf>
    <xf numFmtId="0" fontId="43" fillId="2" borderId="32" xfId="5" applyFont="1" applyFill="1" applyBorder="1" applyAlignment="1" applyProtection="1">
      <alignment horizontal="center" vertical="center" wrapText="1"/>
    </xf>
    <xf numFmtId="0" fontId="43" fillId="2" borderId="28" xfId="5" applyFont="1" applyFill="1" applyBorder="1" applyAlignment="1" applyProtection="1">
      <alignment horizontal="center" vertical="center" wrapText="1"/>
    </xf>
    <xf numFmtId="0" fontId="43" fillId="2" borderId="1" xfId="5" applyFont="1" applyFill="1" applyBorder="1" applyAlignment="1" applyProtection="1">
      <alignment horizontal="center" vertical="center" wrapText="1"/>
    </xf>
    <xf numFmtId="0" fontId="43" fillId="2" borderId="0" xfId="5" applyFont="1" applyFill="1" applyBorder="1" applyAlignment="1" applyProtection="1">
      <alignment horizontal="center" vertical="center" wrapText="1"/>
    </xf>
    <xf numFmtId="0" fontId="43" fillId="2" borderId="2" xfId="5" applyFont="1" applyFill="1" applyBorder="1" applyAlignment="1" applyProtection="1">
      <alignment horizontal="center" vertical="center" wrapText="1"/>
    </xf>
    <xf numFmtId="0" fontId="43" fillId="2" borderId="3" xfId="5" applyFont="1" applyFill="1" applyBorder="1" applyAlignment="1" applyProtection="1">
      <alignment horizontal="center" vertical="center" wrapText="1"/>
    </xf>
    <xf numFmtId="0" fontId="43" fillId="2" borderId="4" xfId="5" applyFont="1" applyFill="1" applyBorder="1" applyAlignment="1" applyProtection="1">
      <alignment horizontal="center" vertical="center" wrapText="1"/>
    </xf>
    <xf numFmtId="0" fontId="43" fillId="2" borderId="5" xfId="5" applyFont="1" applyFill="1" applyBorder="1" applyAlignment="1" applyProtection="1">
      <alignment horizontal="center" vertical="center" wrapText="1"/>
    </xf>
    <xf numFmtId="0" fontId="6" fillId="11" borderId="51" xfId="5" applyFont="1" applyFill="1" applyBorder="1" applyAlignment="1" applyProtection="1">
      <alignment horizontal="left" vertical="top" wrapText="1"/>
    </xf>
    <xf numFmtId="0" fontId="6" fillId="11" borderId="52" xfId="5" applyFont="1" applyFill="1" applyBorder="1" applyAlignment="1" applyProtection="1">
      <alignment horizontal="left" vertical="top" wrapText="1"/>
    </xf>
    <xf numFmtId="164" fontId="6" fillId="11" borderId="52" xfId="5" applyNumberFormat="1" applyFont="1" applyFill="1" applyBorder="1" applyAlignment="1" applyProtection="1">
      <alignment horizontal="right" vertical="top" wrapText="1"/>
    </xf>
    <xf numFmtId="164" fontId="6" fillId="11" borderId="53" xfId="5" applyNumberFormat="1" applyFont="1" applyFill="1" applyBorder="1" applyAlignment="1" applyProtection="1">
      <alignment horizontal="right" vertical="top" wrapText="1"/>
    </xf>
    <xf numFmtId="0" fontId="19" fillId="0" borderId="41" xfId="0" applyFont="1" applyFill="1" applyBorder="1" applyAlignment="1" applyProtection="1">
      <alignment horizontal="center"/>
    </xf>
    <xf numFmtId="0" fontId="19" fillId="0" borderId="42" xfId="0" applyFont="1" applyFill="1" applyBorder="1" applyAlignment="1" applyProtection="1">
      <alignment horizontal="center"/>
    </xf>
    <xf numFmtId="44" fontId="19" fillId="0" borderId="42" xfId="0" applyNumberFormat="1" applyFont="1" applyFill="1" applyBorder="1" applyAlignment="1" applyProtection="1">
      <alignment horizontal="center"/>
    </xf>
    <xf numFmtId="44" fontId="19" fillId="0" borderId="43" xfId="0" applyNumberFormat="1" applyFont="1" applyFill="1" applyBorder="1" applyAlignment="1" applyProtection="1">
      <alignment horizontal="center"/>
    </xf>
    <xf numFmtId="0" fontId="6" fillId="21" borderId="25" xfId="0" applyFont="1" applyFill="1" applyBorder="1" applyAlignment="1" applyProtection="1">
      <alignment horizontal="left" vertical="center" wrapText="1"/>
    </xf>
    <xf numFmtId="0" fontId="6" fillId="21" borderId="21" xfId="0" applyFont="1" applyFill="1" applyBorder="1" applyAlignment="1" applyProtection="1">
      <alignment horizontal="left" vertical="center" wrapText="1"/>
    </xf>
    <xf numFmtId="0" fontId="6" fillId="21" borderId="24" xfId="0" applyFont="1" applyFill="1" applyBorder="1" applyAlignment="1" applyProtection="1">
      <alignment horizontal="left" vertical="center" wrapText="1"/>
    </xf>
    <xf numFmtId="0" fontId="6" fillId="21" borderId="1" xfId="0" applyFont="1" applyFill="1" applyBorder="1" applyAlignment="1" applyProtection="1">
      <alignment horizontal="left" vertical="center" wrapText="1"/>
    </xf>
    <xf numFmtId="0" fontId="6" fillId="21" borderId="0" xfId="0" applyFont="1" applyFill="1" applyBorder="1" applyAlignment="1" applyProtection="1">
      <alignment horizontal="left" vertical="center" wrapText="1"/>
    </xf>
    <xf numFmtId="0" fontId="6" fillId="21" borderId="2" xfId="0" applyFont="1" applyFill="1" applyBorder="1" applyAlignment="1" applyProtection="1">
      <alignment horizontal="left" vertical="center" wrapText="1"/>
    </xf>
    <xf numFmtId="0" fontId="6" fillId="21" borderId="26" xfId="0" applyFont="1" applyFill="1" applyBorder="1" applyAlignment="1" applyProtection="1">
      <alignment horizontal="left" vertical="center" wrapText="1"/>
    </xf>
    <xf numFmtId="0" fontId="6" fillId="21" borderId="23" xfId="0" applyFont="1" applyFill="1" applyBorder="1" applyAlignment="1" applyProtection="1">
      <alignment horizontal="left" vertical="center" wrapText="1"/>
    </xf>
    <xf numFmtId="0" fontId="6" fillId="21" borderId="27" xfId="0" applyFont="1" applyFill="1" applyBorder="1" applyAlignment="1" applyProtection="1">
      <alignment horizontal="left" vertical="center" wrapText="1"/>
    </xf>
    <xf numFmtId="0" fontId="6" fillId="0" borderId="17"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30" xfId="0" applyFont="1" applyFill="1" applyBorder="1" applyAlignment="1" applyProtection="1">
      <alignment horizontal="left" vertical="top" wrapText="1"/>
      <protection locked="0"/>
    </xf>
    <xf numFmtId="0" fontId="19" fillId="21" borderId="25" xfId="0" applyFont="1" applyFill="1" applyBorder="1" applyAlignment="1" applyProtection="1">
      <alignment horizontal="center" vertical="center" wrapText="1" shrinkToFit="1"/>
    </xf>
    <xf numFmtId="0" fontId="19" fillId="21" borderId="21" xfId="0" applyFont="1" applyFill="1" applyBorder="1" applyAlignment="1" applyProtection="1">
      <alignment horizontal="center" vertical="center" wrapText="1" shrinkToFit="1"/>
    </xf>
    <xf numFmtId="0" fontId="19" fillId="21" borderId="24" xfId="0" applyFont="1" applyFill="1" applyBorder="1" applyAlignment="1" applyProtection="1">
      <alignment horizontal="center" vertical="center" wrapText="1" shrinkToFit="1"/>
    </xf>
    <xf numFmtId="0" fontId="19" fillId="21" borderId="26" xfId="0" applyFont="1" applyFill="1" applyBorder="1" applyAlignment="1" applyProtection="1">
      <alignment horizontal="center" vertical="center" wrapText="1" shrinkToFit="1"/>
    </xf>
    <xf numFmtId="0" fontId="19" fillId="21" borderId="23" xfId="0" applyFont="1" applyFill="1" applyBorder="1" applyAlignment="1" applyProtection="1">
      <alignment horizontal="center" vertical="center" wrapText="1" shrinkToFit="1"/>
    </xf>
    <xf numFmtId="0" fontId="19" fillId="21" borderId="27" xfId="0" applyFont="1" applyFill="1" applyBorder="1" applyAlignment="1" applyProtection="1">
      <alignment horizontal="center" vertical="center" wrapText="1" shrinkToFit="1"/>
    </xf>
    <xf numFmtId="0" fontId="6" fillId="21" borderId="25" xfId="0" applyFont="1" applyFill="1" applyBorder="1" applyAlignment="1" applyProtection="1">
      <alignment horizontal="left" vertical="top" wrapText="1"/>
    </xf>
    <xf numFmtId="0" fontId="6" fillId="21" borderId="21" xfId="0" applyFont="1" applyFill="1" applyBorder="1" applyAlignment="1" applyProtection="1">
      <alignment horizontal="left" vertical="top" wrapText="1"/>
    </xf>
    <xf numFmtId="0" fontId="6" fillId="21" borderId="24" xfId="0" applyFont="1" applyFill="1" applyBorder="1" applyAlignment="1" applyProtection="1">
      <alignment horizontal="left" vertical="top" wrapText="1"/>
    </xf>
    <xf numFmtId="0" fontId="6" fillId="21" borderId="1" xfId="0" applyFont="1" applyFill="1" applyBorder="1" applyAlignment="1" applyProtection="1">
      <alignment horizontal="left" vertical="top" wrapText="1"/>
    </xf>
    <xf numFmtId="0" fontId="6" fillId="21" borderId="0" xfId="0" applyFont="1" applyFill="1" applyBorder="1" applyAlignment="1" applyProtection="1">
      <alignment horizontal="left" vertical="top" wrapText="1"/>
    </xf>
    <xf numFmtId="0" fontId="6" fillId="21" borderId="2" xfId="0" applyFont="1" applyFill="1" applyBorder="1" applyAlignment="1" applyProtection="1">
      <alignment horizontal="left" vertical="top" wrapText="1"/>
    </xf>
    <xf numFmtId="0" fontId="6" fillId="21" borderId="26" xfId="0" applyFont="1" applyFill="1" applyBorder="1" applyAlignment="1" applyProtection="1">
      <alignment horizontal="left" vertical="top" wrapText="1"/>
    </xf>
    <xf numFmtId="0" fontId="6" fillId="21" borderId="23" xfId="0" applyFont="1" applyFill="1" applyBorder="1" applyAlignment="1" applyProtection="1">
      <alignment horizontal="left" vertical="top" wrapText="1"/>
    </xf>
    <xf numFmtId="0" fontId="6" fillId="21" borderId="27" xfId="0" applyFont="1" applyFill="1" applyBorder="1" applyAlignment="1" applyProtection="1">
      <alignment horizontal="left" vertical="top" wrapText="1"/>
    </xf>
    <xf numFmtId="0" fontId="19" fillId="8" borderId="35" xfId="5" applyFont="1" applyFill="1" applyBorder="1" applyAlignment="1" applyProtection="1">
      <alignment horizontal="left" vertical="top" wrapText="1"/>
    </xf>
    <xf numFmtId="0" fontId="19" fillId="8" borderId="36" xfId="5" applyFont="1" applyFill="1" applyBorder="1" applyAlignment="1" applyProtection="1">
      <alignment horizontal="left" vertical="top" wrapText="1"/>
    </xf>
    <xf numFmtId="44" fontId="19" fillId="0" borderId="36" xfId="5" applyNumberFormat="1" applyFont="1" applyFill="1" applyBorder="1" applyAlignment="1" applyProtection="1">
      <alignment horizontal="right" vertical="top" wrapText="1"/>
    </xf>
    <xf numFmtId="44" fontId="19" fillId="0" borderId="34" xfId="5" applyNumberFormat="1" applyFont="1" applyFill="1" applyBorder="1" applyAlignment="1" applyProtection="1">
      <alignment horizontal="right" vertical="top" wrapText="1"/>
    </xf>
    <xf numFmtId="0" fontId="19" fillId="8" borderId="98" xfId="5" applyFont="1" applyFill="1" applyBorder="1" applyAlignment="1" applyProtection="1">
      <alignment horizontal="center" vertical="top" wrapText="1"/>
    </xf>
    <xf numFmtId="0" fontId="19" fillId="8" borderId="99" xfId="5" applyFont="1" applyFill="1" applyBorder="1" applyAlignment="1" applyProtection="1">
      <alignment horizontal="center" vertical="top" wrapText="1"/>
    </xf>
    <xf numFmtId="0" fontId="19" fillId="8" borderId="103" xfId="5" applyFont="1" applyFill="1" applyBorder="1" applyAlignment="1" applyProtection="1">
      <alignment horizontal="center" vertical="top" wrapText="1"/>
    </xf>
    <xf numFmtId="0" fontId="19" fillId="8" borderId="39" xfId="5" applyNumberFormat="1" applyFont="1" applyFill="1" applyBorder="1" applyAlignment="1" applyProtection="1">
      <alignment horizontal="right" vertical="top" wrapText="1"/>
      <protection locked="0"/>
    </xf>
    <xf numFmtId="0" fontId="19" fillId="8" borderId="40" xfId="5" applyNumberFormat="1" applyFont="1" applyFill="1" applyBorder="1" applyAlignment="1" applyProtection="1">
      <alignment horizontal="right" vertical="top" wrapText="1"/>
      <protection locked="0"/>
    </xf>
    <xf numFmtId="44" fontId="19" fillId="8" borderId="36" xfId="5" applyNumberFormat="1" applyFont="1" applyFill="1" applyBorder="1" applyAlignment="1" applyProtection="1">
      <alignment horizontal="right" vertical="top" wrapText="1"/>
    </xf>
    <xf numFmtId="44" fontId="19" fillId="8" borderId="34" xfId="5" applyNumberFormat="1" applyFont="1" applyFill="1" applyBorder="1" applyAlignment="1" applyProtection="1">
      <alignment horizontal="right" vertical="top" wrapText="1"/>
    </xf>
    <xf numFmtId="0" fontId="19" fillId="21" borderId="1" xfId="0" applyFont="1" applyFill="1" applyBorder="1" applyAlignment="1" applyProtection="1">
      <alignment horizontal="center" vertical="center" wrapText="1" shrinkToFit="1"/>
    </xf>
    <xf numFmtId="0" fontId="19" fillId="21" borderId="0" xfId="0" applyFont="1" applyFill="1" applyBorder="1" applyAlignment="1" applyProtection="1">
      <alignment horizontal="center" vertical="center" wrapText="1" shrinkToFit="1"/>
    </xf>
    <xf numFmtId="0" fontId="19" fillId="21" borderId="2" xfId="0" applyFont="1" applyFill="1" applyBorder="1" applyAlignment="1" applyProtection="1">
      <alignment horizontal="center" vertical="center" wrapText="1" shrinkToFit="1"/>
    </xf>
    <xf numFmtId="0" fontId="6" fillId="8" borderId="25" xfId="0" applyFont="1" applyFill="1" applyBorder="1" applyAlignment="1" applyProtection="1">
      <alignment horizontal="left" vertical="top" wrapText="1"/>
      <protection locked="0"/>
    </xf>
    <xf numFmtId="0" fontId="6" fillId="8" borderId="21" xfId="0" applyFont="1" applyFill="1" applyBorder="1" applyAlignment="1" applyProtection="1">
      <alignment horizontal="left" vertical="top" wrapText="1"/>
      <protection locked="0"/>
    </xf>
    <xf numFmtId="0" fontId="6" fillId="8" borderId="24" xfId="0" applyFont="1" applyFill="1" applyBorder="1" applyAlignment="1" applyProtection="1">
      <alignment horizontal="left" vertical="top" wrapText="1"/>
      <protection locked="0"/>
    </xf>
    <xf numFmtId="0" fontId="6" fillId="8" borderId="1" xfId="0" applyFont="1" applyFill="1" applyBorder="1" applyAlignment="1" applyProtection="1">
      <alignment horizontal="left" vertical="top" wrapText="1"/>
      <protection locked="0"/>
    </xf>
    <xf numFmtId="0" fontId="6" fillId="8" borderId="0" xfId="0" applyFont="1" applyFill="1" applyBorder="1" applyAlignment="1" applyProtection="1">
      <alignment horizontal="left" vertical="top" wrapText="1"/>
      <protection locked="0"/>
    </xf>
    <xf numFmtId="0" fontId="6" fillId="8" borderId="2" xfId="0" applyFont="1" applyFill="1" applyBorder="1" applyAlignment="1" applyProtection="1">
      <alignment horizontal="left" vertical="top" wrapText="1"/>
      <protection locked="0"/>
    </xf>
    <xf numFmtId="44" fontId="19" fillId="8" borderId="36" xfId="5" applyNumberFormat="1" applyFont="1" applyFill="1" applyBorder="1" applyAlignment="1" applyProtection="1">
      <alignment horizontal="right" vertical="top" wrapText="1"/>
      <protection locked="0"/>
    </xf>
    <xf numFmtId="44" fontId="19" fillId="8" borderId="34" xfId="5" applyNumberFormat="1" applyFont="1" applyFill="1" applyBorder="1" applyAlignment="1" applyProtection="1">
      <alignment horizontal="right" vertical="top" wrapText="1"/>
      <protection locked="0"/>
    </xf>
    <xf numFmtId="8" fontId="19" fillId="8" borderId="36" xfId="5" applyNumberFormat="1" applyFont="1" applyFill="1" applyBorder="1" applyAlignment="1" applyProtection="1">
      <alignment horizontal="right" vertical="top" wrapText="1"/>
      <protection locked="0"/>
    </xf>
    <xf numFmtId="0" fontId="10" fillId="16" borderId="31" xfId="0" applyFont="1" applyFill="1" applyBorder="1" applyAlignment="1" applyProtection="1">
      <alignment horizontal="center" vertical="center" wrapText="1" shrinkToFit="1"/>
    </xf>
    <xf numFmtId="0" fontId="10" fillId="16" borderId="32" xfId="0" applyFont="1" applyFill="1" applyBorder="1" applyAlignment="1" applyProtection="1">
      <alignment horizontal="center" vertical="center" wrapText="1" shrinkToFit="1"/>
    </xf>
    <xf numFmtId="0" fontId="10" fillId="16" borderId="28" xfId="0" applyFont="1" applyFill="1" applyBorder="1" applyAlignment="1" applyProtection="1">
      <alignment horizontal="center" vertical="center" wrapText="1" shrinkToFit="1"/>
    </xf>
    <xf numFmtId="0" fontId="10" fillId="16" borderId="1" xfId="0" applyFont="1" applyFill="1" applyBorder="1" applyAlignment="1" applyProtection="1">
      <alignment horizontal="center" vertical="center" wrapText="1" shrinkToFit="1"/>
    </xf>
    <xf numFmtId="0" fontId="10" fillId="16" borderId="0" xfId="0" applyFont="1" applyFill="1" applyBorder="1" applyAlignment="1" applyProtection="1">
      <alignment horizontal="center" vertical="center" wrapText="1" shrinkToFit="1"/>
    </xf>
    <xf numFmtId="0" fontId="10" fillId="16" borderId="2" xfId="0" applyFont="1" applyFill="1" applyBorder="1" applyAlignment="1" applyProtection="1">
      <alignment horizontal="center" vertical="center" wrapText="1" shrinkToFit="1"/>
    </xf>
    <xf numFmtId="0" fontId="6" fillId="16" borderId="25" xfId="0" applyFont="1" applyFill="1" applyBorder="1" applyAlignment="1" applyProtection="1">
      <alignment horizontal="left" vertical="center" wrapText="1" shrinkToFit="1"/>
    </xf>
    <xf numFmtId="0" fontId="6" fillId="16" borderId="21" xfId="0" applyFont="1" applyFill="1" applyBorder="1" applyAlignment="1" applyProtection="1">
      <alignment horizontal="left" vertical="center" wrapText="1" shrinkToFit="1"/>
    </xf>
    <xf numFmtId="0" fontId="6" fillId="16" borderId="24" xfId="0" applyFont="1" applyFill="1" applyBorder="1" applyAlignment="1" applyProtection="1">
      <alignment horizontal="left" vertical="center" wrapText="1" shrinkToFit="1"/>
    </xf>
    <xf numFmtId="0" fontId="6" fillId="16" borderId="1" xfId="0" applyFont="1" applyFill="1" applyBorder="1" applyAlignment="1" applyProtection="1">
      <alignment horizontal="left" vertical="center" wrapText="1" shrinkToFit="1"/>
    </xf>
    <xf numFmtId="0" fontId="6" fillId="16" borderId="0" xfId="0" applyFont="1" applyFill="1" applyBorder="1" applyAlignment="1" applyProtection="1">
      <alignment horizontal="left" vertical="center" wrapText="1" shrinkToFit="1"/>
    </xf>
    <xf numFmtId="0" fontId="6" fillId="16" borderId="2" xfId="0" applyFont="1" applyFill="1" applyBorder="1" applyAlignment="1" applyProtection="1">
      <alignment horizontal="left" vertical="center" wrapText="1" shrinkToFit="1"/>
    </xf>
    <xf numFmtId="0" fontId="6" fillId="16" borderId="26" xfId="0" applyFont="1" applyFill="1" applyBorder="1" applyAlignment="1" applyProtection="1">
      <alignment horizontal="left" vertical="center" wrapText="1" shrinkToFit="1"/>
    </xf>
    <xf numFmtId="0" fontId="6" fillId="16" borderId="23" xfId="0" applyFont="1" applyFill="1" applyBorder="1" applyAlignment="1" applyProtection="1">
      <alignment horizontal="left" vertical="center" wrapText="1" shrinkToFit="1"/>
    </xf>
    <xf numFmtId="0" fontId="6" fillId="16" borderId="27" xfId="0" applyFont="1" applyFill="1" applyBorder="1" applyAlignment="1" applyProtection="1">
      <alignment horizontal="left" vertical="center" wrapText="1" shrinkToFit="1"/>
    </xf>
    <xf numFmtId="0" fontId="19" fillId="19" borderId="101" xfId="5" applyFont="1" applyFill="1" applyBorder="1" applyAlignment="1" applyProtection="1">
      <alignment horizontal="left" vertical="center" wrapText="1"/>
    </xf>
    <xf numFmtId="0" fontId="19" fillId="19" borderId="70" xfId="5" applyFont="1" applyFill="1" applyBorder="1" applyAlignment="1" applyProtection="1">
      <alignment horizontal="left" vertical="center" wrapText="1"/>
    </xf>
    <xf numFmtId="0" fontId="19" fillId="19" borderId="56" xfId="5" applyFont="1" applyFill="1" applyBorder="1" applyAlignment="1" applyProtection="1">
      <alignment horizontal="left" vertical="center" wrapText="1"/>
    </xf>
    <xf numFmtId="0" fontId="19" fillId="19" borderId="57" xfId="5" applyFont="1" applyFill="1" applyBorder="1" applyAlignment="1" applyProtection="1">
      <alignment horizontal="left" vertical="center" wrapText="1"/>
    </xf>
    <xf numFmtId="44" fontId="19" fillId="17" borderId="70" xfId="5" applyNumberFormat="1" applyFont="1" applyFill="1" applyBorder="1" applyAlignment="1" applyProtection="1">
      <alignment vertical="center" wrapText="1"/>
    </xf>
    <xf numFmtId="44" fontId="19" fillId="17" borderId="102" xfId="5" applyNumberFormat="1" applyFont="1" applyFill="1" applyBorder="1" applyAlignment="1" applyProtection="1">
      <alignment vertical="center" wrapText="1"/>
    </xf>
    <xf numFmtId="44" fontId="19" fillId="17" borderId="57" xfId="5" applyNumberFormat="1" applyFont="1" applyFill="1" applyBorder="1" applyAlignment="1" applyProtection="1">
      <alignment vertical="center" wrapText="1"/>
    </xf>
    <xf numFmtId="44" fontId="19" fillId="17" borderId="59" xfId="5" applyNumberFormat="1" applyFont="1" applyFill="1" applyBorder="1" applyAlignment="1" applyProtection="1">
      <alignment vertical="center" wrapText="1"/>
    </xf>
    <xf numFmtId="0" fontId="19" fillId="22" borderId="1" xfId="0" applyFont="1" applyFill="1" applyBorder="1" applyAlignment="1" applyProtection="1">
      <alignment horizontal="center" vertical="center" wrapText="1" shrinkToFit="1"/>
    </xf>
    <xf numFmtId="0" fontId="19" fillId="22" borderId="0" xfId="0" applyFont="1" applyFill="1" applyBorder="1" applyAlignment="1" applyProtection="1">
      <alignment horizontal="center" vertical="center" wrapText="1" shrinkToFit="1"/>
    </xf>
    <xf numFmtId="0" fontId="19" fillId="22" borderId="2" xfId="0" applyFont="1" applyFill="1" applyBorder="1" applyAlignment="1" applyProtection="1">
      <alignment horizontal="center" vertical="center" wrapText="1" shrinkToFit="1"/>
    </xf>
    <xf numFmtId="0" fontId="19" fillId="22" borderId="26" xfId="0" applyFont="1" applyFill="1" applyBorder="1" applyAlignment="1" applyProtection="1">
      <alignment horizontal="center" vertical="center" wrapText="1" shrinkToFit="1"/>
    </xf>
    <xf numFmtId="0" fontId="19" fillId="22" borderId="23" xfId="0" applyFont="1" applyFill="1" applyBorder="1" applyAlignment="1" applyProtection="1">
      <alignment horizontal="center" vertical="center" wrapText="1" shrinkToFit="1"/>
    </xf>
    <xf numFmtId="0" fontId="19" fillId="22" borderId="27" xfId="0" applyFont="1" applyFill="1" applyBorder="1" applyAlignment="1" applyProtection="1">
      <alignment horizontal="center" vertical="center" wrapText="1" shrinkToFit="1"/>
    </xf>
    <xf numFmtId="0" fontId="6" fillId="22" borderId="25" xfId="0" applyFont="1" applyFill="1" applyBorder="1" applyAlignment="1" applyProtection="1">
      <alignment horizontal="left" vertical="center" wrapText="1"/>
    </xf>
    <xf numFmtId="0" fontId="6" fillId="22" borderId="21" xfId="0" applyFont="1" applyFill="1" applyBorder="1" applyAlignment="1" applyProtection="1">
      <alignment horizontal="left" vertical="center" wrapText="1"/>
    </xf>
    <xf numFmtId="0" fontId="6" fillId="22" borderId="24" xfId="0" applyFont="1" applyFill="1" applyBorder="1" applyAlignment="1" applyProtection="1">
      <alignment horizontal="left" vertical="center" wrapText="1"/>
    </xf>
    <xf numFmtId="0" fontId="6" fillId="22" borderId="1" xfId="0" applyFont="1" applyFill="1" applyBorder="1" applyAlignment="1" applyProtection="1">
      <alignment horizontal="left" vertical="center" wrapText="1"/>
    </xf>
    <xf numFmtId="0" fontId="6" fillId="22" borderId="0" xfId="0" applyFont="1" applyFill="1" applyBorder="1" applyAlignment="1" applyProtection="1">
      <alignment horizontal="left" vertical="center" wrapText="1"/>
    </xf>
    <xf numFmtId="0" fontId="6" fillId="22" borderId="2" xfId="0" applyFont="1" applyFill="1" applyBorder="1" applyAlignment="1" applyProtection="1">
      <alignment horizontal="left" vertical="center" wrapText="1"/>
    </xf>
    <xf numFmtId="0" fontId="6" fillId="22" borderId="26" xfId="0" applyFont="1" applyFill="1" applyBorder="1" applyAlignment="1" applyProtection="1">
      <alignment horizontal="left" vertical="center" wrapText="1"/>
    </xf>
    <xf numFmtId="0" fontId="6" fillId="22" borderId="23" xfId="0" applyFont="1" applyFill="1" applyBorder="1" applyAlignment="1" applyProtection="1">
      <alignment horizontal="left" vertical="center" wrapText="1"/>
    </xf>
    <xf numFmtId="0" fontId="6" fillId="22" borderId="27" xfId="0" applyFont="1" applyFill="1" applyBorder="1" applyAlignment="1" applyProtection="1">
      <alignment horizontal="left" vertical="center" wrapText="1"/>
    </xf>
    <xf numFmtId="0" fontId="25" fillId="0" borderId="17" xfId="0" applyFont="1" applyFill="1" applyBorder="1" applyAlignment="1" applyProtection="1">
      <alignment horizontal="left" vertical="top" wrapText="1"/>
      <protection locked="0"/>
    </xf>
    <xf numFmtId="0" fontId="6" fillId="23" borderId="25" xfId="0" applyFont="1" applyFill="1" applyBorder="1" applyAlignment="1" applyProtection="1">
      <alignment horizontal="left" vertical="center" wrapText="1"/>
    </xf>
    <xf numFmtId="0" fontId="6" fillId="23" borderId="21" xfId="0" applyFont="1" applyFill="1" applyBorder="1" applyAlignment="1" applyProtection="1">
      <alignment horizontal="left" vertical="center" wrapText="1"/>
    </xf>
    <xf numFmtId="0" fontId="6" fillId="23" borderId="24" xfId="0" applyFont="1" applyFill="1" applyBorder="1" applyAlignment="1" applyProtection="1">
      <alignment horizontal="left" vertical="center" wrapText="1"/>
    </xf>
    <xf numFmtId="0" fontId="6" fillId="23" borderId="1" xfId="0" applyFont="1" applyFill="1" applyBorder="1" applyAlignment="1" applyProtection="1">
      <alignment horizontal="left" vertical="center" wrapText="1"/>
    </xf>
    <xf numFmtId="0" fontId="6" fillId="23" borderId="0" xfId="0" applyFont="1" applyFill="1" applyBorder="1" applyAlignment="1" applyProtection="1">
      <alignment horizontal="left" vertical="center" wrapText="1"/>
    </xf>
    <xf numFmtId="0" fontId="6" fillId="23" borderId="2" xfId="0" applyFont="1" applyFill="1" applyBorder="1" applyAlignment="1" applyProtection="1">
      <alignment horizontal="left" vertical="center" wrapText="1"/>
    </xf>
    <xf numFmtId="0" fontId="6" fillId="23" borderId="26" xfId="0" applyFont="1" applyFill="1" applyBorder="1" applyAlignment="1" applyProtection="1">
      <alignment horizontal="left" vertical="center" wrapText="1"/>
    </xf>
    <xf numFmtId="0" fontId="6" fillId="23" borderId="23" xfId="0" applyFont="1" applyFill="1" applyBorder="1" applyAlignment="1" applyProtection="1">
      <alignment horizontal="left" vertical="center" wrapText="1"/>
    </xf>
    <xf numFmtId="0" fontId="6" fillId="23" borderId="27" xfId="0" applyFont="1" applyFill="1" applyBorder="1" applyAlignment="1" applyProtection="1">
      <alignment horizontal="left" vertical="center" wrapText="1"/>
    </xf>
    <xf numFmtId="0" fontId="10" fillId="19" borderId="31" xfId="0" applyFont="1" applyFill="1" applyBorder="1" applyAlignment="1" applyProtection="1">
      <alignment horizontal="center" vertical="center" wrapText="1" shrinkToFit="1"/>
    </xf>
    <xf numFmtId="0" fontId="10" fillId="19" borderId="32" xfId="0" applyFont="1" applyFill="1" applyBorder="1" applyAlignment="1" applyProtection="1">
      <alignment horizontal="center" vertical="center" wrapText="1" shrinkToFit="1"/>
    </xf>
    <xf numFmtId="0" fontId="10" fillId="19" borderId="28" xfId="0" applyFont="1" applyFill="1" applyBorder="1" applyAlignment="1" applyProtection="1">
      <alignment horizontal="center" vertical="center" wrapText="1" shrinkToFit="1"/>
    </xf>
    <xf numFmtId="0" fontId="10" fillId="19" borderId="1" xfId="0" applyFont="1" applyFill="1" applyBorder="1" applyAlignment="1" applyProtection="1">
      <alignment horizontal="center" vertical="center" wrapText="1" shrinkToFit="1"/>
    </xf>
    <xf numFmtId="0" fontId="10" fillId="19" borderId="0" xfId="0" applyFont="1" applyFill="1" applyBorder="1" applyAlignment="1" applyProtection="1">
      <alignment horizontal="center" vertical="center" wrapText="1" shrinkToFit="1"/>
    </xf>
    <xf numFmtId="0" fontId="10" fillId="19" borderId="2" xfId="0" applyFont="1" applyFill="1" applyBorder="1" applyAlignment="1" applyProtection="1">
      <alignment horizontal="center" vertical="center" wrapText="1" shrinkToFit="1"/>
    </xf>
    <xf numFmtId="0" fontId="6" fillId="19" borderId="25" xfId="0" applyFont="1" applyFill="1" applyBorder="1" applyAlignment="1" applyProtection="1">
      <alignment horizontal="left" vertical="top" wrapText="1" shrinkToFit="1"/>
    </xf>
    <xf numFmtId="0" fontId="6" fillId="19" borderId="21" xfId="0" applyFont="1" applyFill="1" applyBorder="1" applyAlignment="1" applyProtection="1">
      <alignment horizontal="left" vertical="top" wrapText="1" shrinkToFit="1"/>
    </xf>
    <xf numFmtId="0" fontId="6" fillId="19" borderId="24" xfId="0" applyFont="1" applyFill="1" applyBorder="1" applyAlignment="1" applyProtection="1">
      <alignment horizontal="left" vertical="top" wrapText="1" shrinkToFit="1"/>
    </xf>
    <xf numFmtId="0" fontId="6" fillId="19" borderId="1" xfId="0" applyFont="1" applyFill="1" applyBorder="1" applyAlignment="1" applyProtection="1">
      <alignment horizontal="left" vertical="top" wrapText="1" shrinkToFit="1"/>
    </xf>
    <xf numFmtId="0" fontId="6" fillId="19" borderId="0" xfId="0" applyFont="1" applyFill="1" applyBorder="1" applyAlignment="1" applyProtection="1">
      <alignment horizontal="left" vertical="top" wrapText="1" shrinkToFit="1"/>
    </xf>
    <xf numFmtId="0" fontId="6" fillId="19" borderId="2" xfId="0" applyFont="1" applyFill="1" applyBorder="1" applyAlignment="1" applyProtection="1">
      <alignment horizontal="left" vertical="top" wrapText="1" shrinkToFit="1"/>
    </xf>
    <xf numFmtId="0" fontId="6" fillId="19" borderId="26" xfId="0" applyFont="1" applyFill="1" applyBorder="1" applyAlignment="1" applyProtection="1">
      <alignment horizontal="left" vertical="top" wrapText="1" shrinkToFit="1"/>
    </xf>
    <xf numFmtId="0" fontId="6" fillId="19" borderId="23" xfId="0" applyFont="1" applyFill="1" applyBorder="1" applyAlignment="1" applyProtection="1">
      <alignment horizontal="left" vertical="top" wrapText="1" shrinkToFit="1"/>
    </xf>
    <xf numFmtId="0" fontId="6" fillId="19" borderId="27" xfId="0" applyFont="1" applyFill="1" applyBorder="1" applyAlignment="1" applyProtection="1">
      <alignment horizontal="left" vertical="top" wrapText="1" shrinkToFit="1"/>
    </xf>
    <xf numFmtId="0" fontId="19" fillId="22" borderId="25" xfId="0" applyFont="1" applyFill="1" applyBorder="1" applyAlignment="1" applyProtection="1">
      <alignment horizontal="center" vertical="center" wrapText="1" shrinkToFit="1"/>
    </xf>
    <xf numFmtId="0" fontId="19" fillId="22" borderId="21" xfId="0" applyFont="1" applyFill="1" applyBorder="1" applyAlignment="1" applyProtection="1">
      <alignment horizontal="center" vertical="center" wrapText="1" shrinkToFit="1"/>
    </xf>
    <xf numFmtId="0" fontId="19" fillId="22" borderId="24" xfId="0" applyFont="1" applyFill="1" applyBorder="1" applyAlignment="1" applyProtection="1">
      <alignment horizontal="center" vertical="center" wrapText="1" shrinkToFit="1"/>
    </xf>
    <xf numFmtId="0" fontId="6" fillId="0" borderId="25" xfId="0" applyFont="1" applyFill="1" applyBorder="1" applyAlignment="1" applyProtection="1">
      <alignment horizontal="left" vertical="top" wrapText="1"/>
      <protection locked="0"/>
    </xf>
    <xf numFmtId="0" fontId="6" fillId="0" borderId="21" xfId="0" applyFont="1" applyFill="1" applyBorder="1" applyAlignment="1" applyProtection="1">
      <alignment horizontal="left" vertical="top" wrapText="1"/>
      <protection locked="0"/>
    </xf>
    <xf numFmtId="0" fontId="6" fillId="0" borderId="24"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10" fillId="14" borderId="31" xfId="0" applyFont="1" applyFill="1" applyBorder="1" applyAlignment="1" applyProtection="1">
      <alignment horizontal="center" vertical="center" wrapText="1" shrinkToFit="1"/>
    </xf>
    <xf numFmtId="0" fontId="10" fillId="14" borderId="32" xfId="0" applyFont="1" applyFill="1" applyBorder="1" applyAlignment="1" applyProtection="1">
      <alignment horizontal="center" vertical="center" wrapText="1" shrinkToFit="1"/>
    </xf>
    <xf numFmtId="0" fontId="10" fillId="14" borderId="28" xfId="0" applyFont="1" applyFill="1" applyBorder="1" applyAlignment="1" applyProtection="1">
      <alignment horizontal="center" vertical="center" wrapText="1" shrinkToFit="1"/>
    </xf>
    <xf numFmtId="0" fontId="10" fillId="14" borderId="1" xfId="0" applyFont="1" applyFill="1" applyBorder="1" applyAlignment="1" applyProtection="1">
      <alignment horizontal="center" vertical="center" wrapText="1" shrinkToFit="1"/>
    </xf>
    <xf numFmtId="0" fontId="10" fillId="14" borderId="0" xfId="0" applyFont="1" applyFill="1" applyBorder="1" applyAlignment="1" applyProtection="1">
      <alignment horizontal="center" vertical="center" wrapText="1" shrinkToFit="1"/>
    </xf>
    <xf numFmtId="0" fontId="10" fillId="14" borderId="2" xfId="0" applyFont="1" applyFill="1" applyBorder="1" applyAlignment="1" applyProtection="1">
      <alignment horizontal="center" vertical="center" wrapText="1" shrinkToFit="1"/>
    </xf>
    <xf numFmtId="0" fontId="6" fillId="14" borderId="25" xfId="0" applyFont="1" applyFill="1" applyBorder="1" applyAlignment="1" applyProtection="1">
      <alignment horizontal="left" vertical="top" wrapText="1" shrinkToFit="1"/>
    </xf>
    <xf numFmtId="0" fontId="6" fillId="14" borderId="21" xfId="0" applyFont="1" applyFill="1" applyBorder="1" applyAlignment="1" applyProtection="1">
      <alignment horizontal="left" vertical="top" wrapText="1" shrinkToFit="1"/>
    </xf>
    <xf numFmtId="0" fontId="6" fillId="14" borderId="24" xfId="0" applyFont="1" applyFill="1" applyBorder="1" applyAlignment="1" applyProtection="1">
      <alignment horizontal="left" vertical="top" wrapText="1" shrinkToFit="1"/>
    </xf>
    <xf numFmtId="0" fontId="6" fillId="14" borderId="1" xfId="0" applyFont="1" applyFill="1" applyBorder="1" applyAlignment="1" applyProtection="1">
      <alignment horizontal="left" vertical="top" wrapText="1" shrinkToFit="1"/>
    </xf>
    <xf numFmtId="0" fontId="6" fillId="14" borderId="0" xfId="0" applyFont="1" applyFill="1" applyBorder="1" applyAlignment="1" applyProtection="1">
      <alignment horizontal="left" vertical="top" wrapText="1" shrinkToFit="1"/>
    </xf>
    <xf numFmtId="0" fontId="6" fillId="14" borderId="2" xfId="0" applyFont="1" applyFill="1" applyBorder="1" applyAlignment="1" applyProtection="1">
      <alignment horizontal="left" vertical="top" wrapText="1" shrinkToFit="1"/>
    </xf>
    <xf numFmtId="0" fontId="6" fillId="14" borderId="26" xfId="0" applyFont="1" applyFill="1" applyBorder="1" applyAlignment="1" applyProtection="1">
      <alignment horizontal="left" vertical="top" wrapText="1" shrinkToFit="1"/>
    </xf>
    <xf numFmtId="0" fontId="6" fillId="14" borderId="23" xfId="0" applyFont="1" applyFill="1" applyBorder="1" applyAlignment="1" applyProtection="1">
      <alignment horizontal="left" vertical="top" wrapText="1" shrinkToFit="1"/>
    </xf>
    <xf numFmtId="0" fontId="6" fillId="14" borderId="27" xfId="0" applyFont="1" applyFill="1" applyBorder="1" applyAlignment="1" applyProtection="1">
      <alignment horizontal="left" vertical="top" wrapText="1" shrinkToFit="1"/>
    </xf>
    <xf numFmtId="0" fontId="10" fillId="17" borderId="31" xfId="0" applyFont="1" applyFill="1" applyBorder="1" applyAlignment="1" applyProtection="1">
      <alignment horizontal="center" vertical="center" wrapText="1" shrinkToFit="1"/>
    </xf>
    <xf numFmtId="0" fontId="10" fillId="17" borderId="32" xfId="0" applyFont="1" applyFill="1" applyBorder="1" applyAlignment="1" applyProtection="1">
      <alignment horizontal="center" vertical="center" wrapText="1" shrinkToFit="1"/>
    </xf>
    <xf numFmtId="0" fontId="10" fillId="17" borderId="28" xfId="0" applyFont="1" applyFill="1" applyBorder="1" applyAlignment="1" applyProtection="1">
      <alignment horizontal="center" vertical="center" wrapText="1" shrinkToFit="1"/>
    </xf>
    <xf numFmtId="0" fontId="10" fillId="17" borderId="1" xfId="0" applyFont="1" applyFill="1" applyBorder="1" applyAlignment="1" applyProtection="1">
      <alignment horizontal="center" vertical="center" wrapText="1" shrinkToFit="1"/>
    </xf>
    <xf numFmtId="0" fontId="10" fillId="17" borderId="0" xfId="0" applyFont="1" applyFill="1" applyBorder="1" applyAlignment="1" applyProtection="1">
      <alignment horizontal="center" vertical="center" wrapText="1" shrinkToFit="1"/>
    </xf>
    <xf numFmtId="0" fontId="10" fillId="17" borderId="2" xfId="0" applyFont="1" applyFill="1" applyBorder="1" applyAlignment="1" applyProtection="1">
      <alignment horizontal="center" vertical="center" wrapText="1" shrinkToFit="1"/>
    </xf>
    <xf numFmtId="0" fontId="6" fillId="17" borderId="25" xfId="0" applyFont="1" applyFill="1" applyBorder="1" applyAlignment="1" applyProtection="1">
      <alignment horizontal="left" vertical="top" wrapText="1" shrinkToFit="1"/>
    </xf>
    <xf numFmtId="0" fontId="6" fillId="17" borderId="21" xfId="0" applyFont="1" applyFill="1" applyBorder="1" applyAlignment="1" applyProtection="1">
      <alignment horizontal="left" vertical="top" wrapText="1" shrinkToFit="1"/>
    </xf>
    <xf numFmtId="0" fontId="6" fillId="17" borderId="24" xfId="0" applyFont="1" applyFill="1" applyBorder="1" applyAlignment="1" applyProtection="1">
      <alignment horizontal="left" vertical="top" wrapText="1" shrinkToFit="1"/>
    </xf>
    <xf numFmtId="0" fontId="6" fillId="17" borderId="1" xfId="0" applyFont="1" applyFill="1" applyBorder="1" applyAlignment="1" applyProtection="1">
      <alignment horizontal="left" vertical="top" wrapText="1" shrinkToFit="1"/>
    </xf>
    <xf numFmtId="0" fontId="6" fillId="17" borderId="0" xfId="0" applyFont="1" applyFill="1" applyBorder="1" applyAlignment="1" applyProtection="1">
      <alignment horizontal="left" vertical="top" wrapText="1" shrinkToFit="1"/>
    </xf>
    <xf numFmtId="0" fontId="6" fillId="17" borderId="2" xfId="0" applyFont="1" applyFill="1" applyBorder="1" applyAlignment="1" applyProtection="1">
      <alignment horizontal="left" vertical="top" wrapText="1" shrinkToFit="1"/>
    </xf>
    <xf numFmtId="0" fontId="6" fillId="17" borderId="26" xfId="0" applyFont="1" applyFill="1" applyBorder="1" applyAlignment="1" applyProtection="1">
      <alignment horizontal="left" vertical="top" wrapText="1" shrinkToFit="1"/>
    </xf>
    <xf numFmtId="0" fontId="6" fillId="17" borderId="23" xfId="0" applyFont="1" applyFill="1" applyBorder="1" applyAlignment="1" applyProtection="1">
      <alignment horizontal="left" vertical="top" wrapText="1" shrinkToFit="1"/>
    </xf>
    <xf numFmtId="0" fontId="6" fillId="17" borderId="27" xfId="0" applyFont="1" applyFill="1" applyBorder="1" applyAlignment="1" applyProtection="1">
      <alignment horizontal="left" vertical="top" wrapText="1" shrinkToFit="1"/>
    </xf>
    <xf numFmtId="0" fontId="19" fillId="11" borderId="25" xfId="5" applyFont="1" applyFill="1" applyBorder="1" applyAlignment="1" applyProtection="1">
      <alignment horizontal="center" vertical="center" wrapText="1" shrinkToFit="1"/>
    </xf>
    <xf numFmtId="0" fontId="19" fillId="11" borderId="21" xfId="5" applyFont="1" applyFill="1" applyBorder="1" applyAlignment="1" applyProtection="1">
      <alignment horizontal="center" vertical="center" wrapText="1" shrinkToFit="1"/>
    </xf>
    <xf numFmtId="0" fontId="19" fillId="11" borderId="24" xfId="5" applyFont="1" applyFill="1" applyBorder="1" applyAlignment="1" applyProtection="1">
      <alignment horizontal="center" vertical="center" wrapText="1" shrinkToFit="1"/>
    </xf>
    <xf numFmtId="0" fontId="19" fillId="11" borderId="26" xfId="5" applyFont="1" applyFill="1" applyBorder="1" applyAlignment="1" applyProtection="1">
      <alignment horizontal="center" vertical="center" wrapText="1" shrinkToFit="1"/>
    </xf>
    <xf numFmtId="0" fontId="19" fillId="11" borderId="23" xfId="5" applyFont="1" applyFill="1" applyBorder="1" applyAlignment="1" applyProtection="1">
      <alignment horizontal="center" vertical="center" wrapText="1" shrinkToFit="1"/>
    </xf>
    <xf numFmtId="0" fontId="19" fillId="11" borderId="27" xfId="5" applyFont="1" applyFill="1" applyBorder="1" applyAlignment="1" applyProtection="1">
      <alignment horizontal="center" vertical="center" wrapText="1" shrinkToFit="1"/>
    </xf>
    <xf numFmtId="0" fontId="6" fillId="11" borderId="25" xfId="5" applyFont="1" applyFill="1" applyBorder="1" applyAlignment="1" applyProtection="1">
      <alignment horizontal="left" vertical="center" wrapText="1"/>
    </xf>
    <xf numFmtId="0" fontId="6" fillId="11" borderId="21" xfId="5" applyFont="1" applyFill="1" applyBorder="1" applyAlignment="1" applyProtection="1">
      <alignment horizontal="left" vertical="center" wrapText="1"/>
    </xf>
    <xf numFmtId="0" fontId="6" fillId="11" borderId="24" xfId="5" applyFont="1" applyFill="1" applyBorder="1" applyAlignment="1" applyProtection="1">
      <alignment horizontal="left" vertical="center" wrapText="1"/>
    </xf>
    <xf numFmtId="0" fontId="6" fillId="11" borderId="1" xfId="5" applyFont="1" applyFill="1" applyBorder="1" applyAlignment="1" applyProtection="1">
      <alignment horizontal="left" vertical="center" wrapText="1"/>
    </xf>
    <xf numFmtId="0" fontId="6" fillId="11" borderId="0" xfId="5" applyFont="1" applyFill="1" applyBorder="1" applyAlignment="1" applyProtection="1">
      <alignment horizontal="left" vertical="center" wrapText="1"/>
    </xf>
    <xf numFmtId="0" fontId="6" fillId="11" borderId="2" xfId="5" applyFont="1" applyFill="1" applyBorder="1" applyAlignment="1" applyProtection="1">
      <alignment horizontal="left" vertical="center" wrapText="1"/>
    </xf>
    <xf numFmtId="0" fontId="6" fillId="11" borderId="26" xfId="5" applyFont="1" applyFill="1" applyBorder="1" applyAlignment="1" applyProtection="1">
      <alignment horizontal="left" vertical="center" wrapText="1"/>
    </xf>
    <xf numFmtId="0" fontId="6" fillId="11" borderId="23" xfId="5" applyFont="1" applyFill="1" applyBorder="1" applyAlignment="1" applyProtection="1">
      <alignment horizontal="left" vertical="center" wrapText="1"/>
    </xf>
    <xf numFmtId="0" fontId="6" fillId="11" borderId="27" xfId="5" applyFont="1" applyFill="1" applyBorder="1" applyAlignment="1" applyProtection="1">
      <alignment horizontal="left" vertical="center" wrapText="1"/>
    </xf>
    <xf numFmtId="0" fontId="6" fillId="0" borderId="17" xfId="5" applyFont="1" applyFill="1" applyBorder="1" applyAlignment="1" applyProtection="1">
      <alignment horizontal="left" vertical="top" wrapText="1"/>
      <protection locked="0"/>
    </xf>
    <xf numFmtId="0" fontId="6" fillId="0" borderId="6" xfId="5" applyFont="1" applyFill="1" applyBorder="1" applyAlignment="1" applyProtection="1">
      <alignment horizontal="left" vertical="top" wrapText="1"/>
      <protection locked="0"/>
    </xf>
    <xf numFmtId="0" fontId="6" fillId="0" borderId="30" xfId="5" applyFont="1" applyFill="1" applyBorder="1" applyAlignment="1" applyProtection="1">
      <alignment horizontal="left" vertical="top" wrapText="1"/>
      <protection locked="0"/>
    </xf>
    <xf numFmtId="0" fontId="6" fillId="8" borderId="25" xfId="5" applyFont="1" applyFill="1" applyBorder="1" applyAlignment="1" applyProtection="1">
      <alignment horizontal="left" vertical="top" wrapText="1"/>
      <protection locked="0"/>
    </xf>
    <xf numFmtId="0" fontId="6" fillId="8" borderId="21" xfId="5" applyFont="1" applyFill="1" applyBorder="1" applyAlignment="1" applyProtection="1">
      <alignment horizontal="left" vertical="top" wrapText="1"/>
      <protection locked="0"/>
    </xf>
    <xf numFmtId="0" fontId="6" fillId="8" borderId="24" xfId="5" applyFont="1" applyFill="1" applyBorder="1" applyAlignment="1" applyProtection="1">
      <alignment horizontal="left" vertical="top" wrapText="1"/>
      <protection locked="0"/>
    </xf>
    <xf numFmtId="0" fontId="6" fillId="8" borderId="1" xfId="5" applyFont="1" applyFill="1" applyBorder="1" applyAlignment="1" applyProtection="1">
      <alignment horizontal="left" vertical="top" wrapText="1"/>
      <protection locked="0"/>
    </xf>
    <xf numFmtId="0" fontId="6" fillId="8" borderId="0" xfId="5" applyFont="1" applyFill="1" applyBorder="1" applyAlignment="1" applyProtection="1">
      <alignment horizontal="left" vertical="top" wrapText="1"/>
      <protection locked="0"/>
    </xf>
    <xf numFmtId="0" fontId="6" fillId="8" borderId="2" xfId="5" applyFont="1" applyFill="1" applyBorder="1" applyAlignment="1" applyProtection="1">
      <alignment horizontal="left" vertical="top" wrapText="1"/>
      <protection locked="0"/>
    </xf>
    <xf numFmtId="0" fontId="6" fillId="8" borderId="26" xfId="5" applyFont="1" applyFill="1" applyBorder="1" applyAlignment="1" applyProtection="1">
      <alignment horizontal="left" vertical="top" wrapText="1"/>
      <protection locked="0"/>
    </xf>
    <xf numFmtId="0" fontId="6" fillId="8" borderId="23" xfId="5" applyFont="1" applyFill="1" applyBorder="1" applyAlignment="1" applyProtection="1">
      <alignment horizontal="left" vertical="top" wrapText="1"/>
      <protection locked="0"/>
    </xf>
    <xf numFmtId="0" fontId="6" fillId="8" borderId="27" xfId="5" applyFont="1" applyFill="1" applyBorder="1" applyAlignment="1" applyProtection="1">
      <alignment horizontal="left" vertical="top" wrapText="1"/>
      <protection locked="0"/>
    </xf>
    <xf numFmtId="0" fontId="6" fillId="0" borderId="25" xfId="5" applyFont="1" applyFill="1" applyBorder="1" applyAlignment="1" applyProtection="1">
      <alignment horizontal="left" vertical="top" wrapText="1"/>
      <protection locked="0"/>
    </xf>
    <xf numFmtId="0" fontId="6" fillId="0" borderId="21" xfId="5" applyFont="1" applyFill="1" applyBorder="1" applyAlignment="1" applyProtection="1">
      <alignment horizontal="left" vertical="top" wrapText="1"/>
      <protection locked="0"/>
    </xf>
    <xf numFmtId="0" fontId="6" fillId="0" borderId="24" xfId="5" applyFont="1" applyFill="1" applyBorder="1" applyAlignment="1" applyProtection="1">
      <alignment horizontal="left" vertical="top" wrapText="1"/>
      <protection locked="0"/>
    </xf>
    <xf numFmtId="0" fontId="6" fillId="0" borderId="1" xfId="5" applyFont="1" applyFill="1" applyBorder="1" applyAlignment="1" applyProtection="1">
      <alignment horizontal="left" vertical="top" wrapText="1"/>
      <protection locked="0"/>
    </xf>
    <xf numFmtId="0" fontId="6" fillId="0" borderId="0" xfId="5" applyFont="1" applyFill="1" applyBorder="1" applyAlignment="1" applyProtection="1">
      <alignment horizontal="left" vertical="top" wrapText="1"/>
      <protection locked="0"/>
    </xf>
    <xf numFmtId="0" fontId="6" fillId="0" borderId="2" xfId="5" applyFont="1" applyFill="1" applyBorder="1" applyAlignment="1" applyProtection="1">
      <alignment horizontal="left" vertical="top" wrapText="1"/>
      <protection locked="0"/>
    </xf>
    <xf numFmtId="0" fontId="6" fillId="0" borderId="26" xfId="5" applyFont="1" applyFill="1" applyBorder="1" applyAlignment="1" applyProtection="1">
      <alignment horizontal="left" vertical="top" wrapText="1"/>
      <protection locked="0"/>
    </xf>
    <xf numFmtId="0" fontId="6" fillId="0" borderId="23" xfId="5" applyFont="1" applyFill="1" applyBorder="1" applyAlignment="1" applyProtection="1">
      <alignment horizontal="left" vertical="top" wrapText="1"/>
      <protection locked="0"/>
    </xf>
    <xf numFmtId="0" fontId="6" fillId="0" borderId="27" xfId="5" applyFont="1" applyFill="1" applyBorder="1" applyAlignment="1" applyProtection="1">
      <alignment horizontal="left" vertical="top" wrapText="1"/>
      <protection locked="0"/>
    </xf>
    <xf numFmtId="0" fontId="10" fillId="19" borderId="31" xfId="5" applyFont="1" applyFill="1" applyBorder="1" applyAlignment="1" applyProtection="1">
      <alignment horizontal="center" vertical="center" wrapText="1" shrinkToFit="1"/>
    </xf>
    <xf numFmtId="0" fontId="10" fillId="19" borderId="32" xfId="5" applyFont="1" applyFill="1" applyBorder="1" applyAlignment="1" applyProtection="1">
      <alignment horizontal="center" vertical="center" wrapText="1" shrinkToFit="1"/>
    </xf>
    <xf numFmtId="0" fontId="10" fillId="19" borderId="28" xfId="5" applyFont="1" applyFill="1" applyBorder="1" applyAlignment="1" applyProtection="1">
      <alignment horizontal="center" vertical="center" wrapText="1" shrinkToFit="1"/>
    </xf>
    <xf numFmtId="0" fontId="10" fillId="19" borderId="1" xfId="5" applyFont="1" applyFill="1" applyBorder="1" applyAlignment="1" applyProtection="1">
      <alignment horizontal="center" vertical="center" wrapText="1" shrinkToFit="1"/>
    </xf>
    <xf numFmtId="0" fontId="10" fillId="19" borderId="0" xfId="5" applyFont="1" applyFill="1" applyBorder="1" applyAlignment="1" applyProtection="1">
      <alignment horizontal="center" vertical="center" wrapText="1" shrinkToFit="1"/>
    </xf>
    <xf numFmtId="0" fontId="10" fillId="19" borderId="2" xfId="5" applyFont="1" applyFill="1" applyBorder="1" applyAlignment="1" applyProtection="1">
      <alignment horizontal="center" vertical="center" wrapText="1" shrinkToFit="1"/>
    </xf>
    <xf numFmtId="0" fontId="6" fillId="9" borderId="25" xfId="5" applyFont="1" applyFill="1" applyBorder="1" applyAlignment="1" applyProtection="1">
      <alignment horizontal="center" vertical="center" wrapText="1" shrinkToFit="1"/>
    </xf>
    <xf numFmtId="0" fontId="6" fillId="9" borderId="21" xfId="5" applyFont="1" applyFill="1" applyBorder="1" applyAlignment="1" applyProtection="1">
      <alignment horizontal="center" vertical="center" wrapText="1" shrinkToFit="1"/>
    </xf>
    <xf numFmtId="0" fontId="6" fillId="9" borderId="24" xfId="5" applyFont="1" applyFill="1" applyBorder="1" applyAlignment="1" applyProtection="1">
      <alignment horizontal="center" vertical="center" wrapText="1" shrinkToFit="1"/>
    </xf>
    <xf numFmtId="0" fontId="6" fillId="9" borderId="1" xfId="5" applyFont="1" applyFill="1" applyBorder="1" applyAlignment="1" applyProtection="1">
      <alignment horizontal="center" vertical="center" wrapText="1" shrinkToFit="1"/>
    </xf>
    <xf numFmtId="0" fontId="6" fillId="9" borderId="0" xfId="5" applyFont="1" applyFill="1" applyBorder="1" applyAlignment="1" applyProtection="1">
      <alignment horizontal="center" vertical="center" wrapText="1" shrinkToFit="1"/>
    </xf>
    <xf numFmtId="0" fontId="6" fillId="9" borderId="2" xfId="5" applyFont="1" applyFill="1" applyBorder="1" applyAlignment="1" applyProtection="1">
      <alignment horizontal="center" vertical="center" wrapText="1" shrinkToFit="1"/>
    </xf>
    <xf numFmtId="0" fontId="6" fillId="9" borderId="26" xfId="5" applyFont="1" applyFill="1" applyBorder="1" applyAlignment="1" applyProtection="1">
      <alignment horizontal="center" vertical="center" wrapText="1" shrinkToFit="1"/>
    </xf>
    <xf numFmtId="0" fontId="6" fillId="9" borderId="23" xfId="5" applyFont="1" applyFill="1" applyBorder="1" applyAlignment="1" applyProtection="1">
      <alignment horizontal="center" vertical="center" wrapText="1" shrinkToFit="1"/>
    </xf>
    <xf numFmtId="0" fontId="6" fillId="9" borderId="27" xfId="5" applyFont="1" applyFill="1" applyBorder="1" applyAlignment="1" applyProtection="1">
      <alignment horizontal="center" vertical="center" wrapText="1" shrinkToFit="1"/>
    </xf>
    <xf numFmtId="0" fontId="6" fillId="0" borderId="37" xfId="5" applyFont="1" applyFill="1" applyBorder="1" applyAlignment="1" applyProtection="1">
      <alignment horizontal="left" vertical="top" wrapText="1"/>
      <protection locked="0"/>
    </xf>
    <xf numFmtId="0" fontId="6" fillId="0" borderId="50" xfId="5" applyFont="1" applyFill="1" applyBorder="1" applyAlignment="1" applyProtection="1">
      <alignment horizontal="left" vertical="top" wrapText="1"/>
      <protection locked="0"/>
    </xf>
    <xf numFmtId="0" fontId="6" fillId="0" borderId="33" xfId="5" applyFont="1" applyFill="1" applyBorder="1" applyAlignment="1" applyProtection="1">
      <alignment horizontal="left" vertical="top" wrapText="1"/>
      <protection locked="0"/>
    </xf>
    <xf numFmtId="0" fontId="19" fillId="18" borderId="54" xfId="5" applyFont="1" applyFill="1" applyBorder="1" applyAlignment="1" applyProtection="1">
      <alignment horizontal="left" vertical="center" wrapText="1"/>
    </xf>
    <xf numFmtId="0" fontId="19" fillId="18" borderId="55" xfId="5" applyFont="1" applyFill="1" applyBorder="1" applyAlignment="1" applyProtection="1">
      <alignment horizontal="left" vertical="center" wrapText="1"/>
    </xf>
    <xf numFmtId="0" fontId="19" fillId="18" borderId="56" xfId="5" applyFont="1" applyFill="1" applyBorder="1" applyAlignment="1" applyProtection="1">
      <alignment horizontal="left" vertical="center" wrapText="1"/>
    </xf>
    <xf numFmtId="0" fontId="19" fillId="18" borderId="57" xfId="5" applyFont="1" applyFill="1" applyBorder="1" applyAlignment="1" applyProtection="1">
      <alignment horizontal="left" vertical="center" wrapText="1"/>
    </xf>
    <xf numFmtId="44" fontId="19" fillId="18" borderId="55" xfId="5" applyNumberFormat="1" applyFont="1" applyFill="1" applyBorder="1" applyAlignment="1" applyProtection="1">
      <alignment vertical="center" wrapText="1"/>
    </xf>
    <xf numFmtId="44" fontId="19" fillId="18" borderId="58" xfId="5" applyNumberFormat="1" applyFont="1" applyFill="1" applyBorder="1" applyAlignment="1" applyProtection="1">
      <alignment vertical="center" wrapText="1"/>
    </xf>
    <xf numFmtId="44" fontId="19" fillId="18" borderId="57" xfId="5" applyNumberFormat="1" applyFont="1" applyFill="1" applyBorder="1" applyAlignment="1" applyProtection="1">
      <alignment vertical="center" wrapText="1"/>
    </xf>
    <xf numFmtId="44" fontId="19" fillId="18" borderId="59" xfId="5" applyNumberFormat="1" applyFont="1" applyFill="1" applyBorder="1" applyAlignment="1" applyProtection="1">
      <alignment vertical="center" wrapText="1"/>
    </xf>
    <xf numFmtId="0" fontId="19" fillId="8" borderId="35" xfId="5" applyFont="1" applyFill="1" applyBorder="1" applyAlignment="1" applyProtection="1">
      <alignment horizontal="left" vertical="center" wrapText="1"/>
    </xf>
    <xf numFmtId="0" fontId="19" fillId="8" borderId="36" xfId="5" applyFont="1" applyFill="1" applyBorder="1" applyAlignment="1" applyProtection="1">
      <alignment horizontal="left" vertical="center" wrapText="1"/>
    </xf>
    <xf numFmtId="44" fontId="19" fillId="8" borderId="36" xfId="5" applyNumberFormat="1" applyFont="1" applyFill="1" applyBorder="1" applyAlignment="1" applyProtection="1">
      <alignment horizontal="right" vertical="center" wrapText="1"/>
      <protection locked="0"/>
    </xf>
    <xf numFmtId="44" fontId="19" fillId="8" borderId="34" xfId="5" applyNumberFormat="1" applyFont="1" applyFill="1" applyBorder="1" applyAlignment="1" applyProtection="1">
      <alignment horizontal="right" vertical="center" wrapText="1"/>
      <protection locked="0"/>
    </xf>
    <xf numFmtId="0" fontId="19" fillId="11" borderId="56" xfId="5" applyFont="1" applyFill="1" applyBorder="1" applyAlignment="1" applyProtection="1">
      <alignment horizontal="left" vertical="center" wrapText="1"/>
    </xf>
    <xf numFmtId="0" fontId="19" fillId="11" borderId="57" xfId="5" applyFont="1" applyFill="1" applyBorder="1" applyAlignment="1" applyProtection="1">
      <alignment horizontal="left" vertical="center" wrapText="1"/>
    </xf>
    <xf numFmtId="44" fontId="19" fillId="11" borderId="57" xfId="5" applyNumberFormat="1" applyFont="1" applyFill="1" applyBorder="1" applyAlignment="1" applyProtection="1">
      <alignment horizontal="right" vertical="center" wrapText="1"/>
    </xf>
    <xf numFmtId="44" fontId="19" fillId="11" borderId="59" xfId="5" applyNumberFormat="1" applyFont="1" applyFill="1" applyBorder="1" applyAlignment="1" applyProtection="1">
      <alignment horizontal="right" vertical="center" wrapText="1"/>
    </xf>
    <xf numFmtId="0" fontId="6" fillId="9" borderId="25" xfId="0" applyFont="1" applyFill="1" applyBorder="1" applyAlignment="1" applyProtection="1">
      <alignment horizontal="center" vertical="center" wrapText="1" shrinkToFit="1"/>
    </xf>
    <xf numFmtId="0" fontId="6" fillId="9" borderId="21" xfId="0" applyFont="1" applyFill="1" applyBorder="1" applyAlignment="1" applyProtection="1">
      <alignment horizontal="center" vertical="center" wrapText="1" shrinkToFit="1"/>
    </xf>
    <xf numFmtId="0" fontId="6" fillId="9" borderId="24" xfId="0" applyFont="1" applyFill="1" applyBorder="1" applyAlignment="1" applyProtection="1">
      <alignment horizontal="center" vertical="center" wrapText="1" shrinkToFit="1"/>
    </xf>
    <xf numFmtId="0" fontId="6" fillId="9" borderId="26" xfId="0" applyFont="1" applyFill="1" applyBorder="1" applyAlignment="1" applyProtection="1">
      <alignment horizontal="center" vertical="center" wrapText="1" shrinkToFit="1"/>
    </xf>
    <xf numFmtId="0" fontId="6" fillId="9" borderId="23" xfId="0" applyFont="1" applyFill="1" applyBorder="1" applyAlignment="1" applyProtection="1">
      <alignment horizontal="center" vertical="center" wrapText="1" shrinkToFit="1"/>
    </xf>
    <xf numFmtId="0" fontId="6" fillId="9" borderId="27" xfId="0" applyFont="1" applyFill="1" applyBorder="1" applyAlignment="1" applyProtection="1">
      <alignment horizontal="center" vertical="center" wrapText="1" shrinkToFit="1"/>
    </xf>
    <xf numFmtId="0" fontId="19" fillId="11" borderId="35" xfId="5" applyFont="1" applyFill="1" applyBorder="1" applyAlignment="1" applyProtection="1">
      <alignment horizontal="left" vertical="center" wrapText="1"/>
    </xf>
    <xf numFmtId="0" fontId="19" fillId="11" borderId="36" xfId="5" applyFont="1" applyFill="1" applyBorder="1" applyAlignment="1" applyProtection="1">
      <alignment horizontal="left" vertical="center" wrapText="1"/>
    </xf>
    <xf numFmtId="44" fontId="19" fillId="11" borderId="36" xfId="5" applyNumberFormat="1" applyFont="1" applyFill="1" applyBorder="1" applyAlignment="1" applyProtection="1">
      <alignment horizontal="right" vertical="center" wrapText="1"/>
    </xf>
    <xf numFmtId="44" fontId="19" fillId="11" borderId="34" xfId="5" applyNumberFormat="1" applyFont="1" applyFill="1" applyBorder="1" applyAlignment="1" applyProtection="1">
      <alignment horizontal="right" vertical="center" wrapText="1"/>
    </xf>
    <xf numFmtId="0" fontId="23" fillId="2" borderId="1" xfId="5" applyFont="1" applyFill="1" applyBorder="1" applyAlignment="1" applyProtection="1">
      <alignment horizontal="left" vertical="center" wrapText="1"/>
    </xf>
    <xf numFmtId="0" fontId="23" fillId="2" borderId="0" xfId="5" applyFont="1" applyFill="1" applyBorder="1" applyAlignment="1" applyProtection="1">
      <alignment horizontal="left" vertical="center" wrapText="1"/>
    </xf>
    <xf numFmtId="0" fontId="23" fillId="2" borderId="2" xfId="5" applyFont="1" applyFill="1" applyBorder="1" applyAlignment="1" applyProtection="1">
      <alignment horizontal="left" vertical="center" wrapText="1"/>
    </xf>
    <xf numFmtId="0" fontId="23" fillId="2" borderId="26" xfId="5" applyFont="1" applyFill="1" applyBorder="1" applyAlignment="1" applyProtection="1">
      <alignment horizontal="left" vertical="center" wrapText="1"/>
    </xf>
    <xf numFmtId="0" fontId="23" fillId="2" borderId="23" xfId="5" applyFont="1" applyFill="1" applyBorder="1" applyAlignment="1" applyProtection="1">
      <alignment horizontal="left" vertical="center" wrapText="1"/>
    </xf>
    <xf numFmtId="0" fontId="23" fillId="2" borderId="27" xfId="5" applyFont="1" applyFill="1" applyBorder="1" applyAlignment="1" applyProtection="1">
      <alignment horizontal="left" vertical="center" wrapText="1"/>
    </xf>
    <xf numFmtId="0" fontId="23" fillId="2" borderId="25" xfId="5" applyFont="1" applyFill="1" applyBorder="1" applyAlignment="1" applyProtection="1">
      <alignment horizontal="left" vertical="center" wrapText="1"/>
    </xf>
    <xf numFmtId="0" fontId="23" fillId="2" borderId="21" xfId="5" applyFont="1" applyFill="1" applyBorder="1" applyAlignment="1" applyProtection="1">
      <alignment horizontal="left" vertical="center" wrapText="1"/>
    </xf>
    <xf numFmtId="0" fontId="23" fillId="2" borderId="24" xfId="5" applyFont="1" applyFill="1" applyBorder="1" applyAlignment="1" applyProtection="1">
      <alignment horizontal="left" vertical="center" wrapText="1"/>
    </xf>
    <xf numFmtId="0" fontId="19" fillId="8" borderId="36" xfId="5" applyNumberFormat="1" applyFont="1" applyFill="1" applyBorder="1" applyAlignment="1" applyProtection="1">
      <alignment horizontal="right" vertical="top" wrapText="1"/>
      <protection locked="0"/>
    </xf>
    <xf numFmtId="0" fontId="19" fillId="8" borderId="34" xfId="5" applyNumberFormat="1" applyFont="1" applyFill="1" applyBorder="1" applyAlignment="1" applyProtection="1">
      <alignment horizontal="right" vertical="top" wrapText="1"/>
      <protection locked="0"/>
    </xf>
    <xf numFmtId="0" fontId="19" fillId="12" borderId="29" xfId="5" applyFont="1" applyFill="1" applyBorder="1" applyAlignment="1" applyProtection="1">
      <alignment horizontal="center" vertical="top" wrapText="1"/>
    </xf>
    <xf numFmtId="0" fontId="19" fillId="12" borderId="14" xfId="5" applyFont="1" applyFill="1" applyBorder="1" applyAlignment="1" applyProtection="1">
      <alignment horizontal="center" vertical="top" wrapText="1"/>
    </xf>
    <xf numFmtId="0" fontId="19" fillId="12" borderId="20" xfId="5" applyFont="1" applyFill="1" applyBorder="1" applyAlignment="1" applyProtection="1">
      <alignment horizontal="center" vertical="top" wrapText="1"/>
    </xf>
    <xf numFmtId="0" fontId="6" fillId="8" borderId="0" xfId="0" applyFont="1" applyFill="1" applyBorder="1" applyAlignment="1" applyProtection="1">
      <alignment horizontal="left" wrapText="1" shrinkToFit="1"/>
    </xf>
    <xf numFmtId="0" fontId="6" fillId="8" borderId="0" xfId="0" applyFont="1" applyFill="1" applyBorder="1" applyAlignment="1" applyProtection="1">
      <alignment wrapText="1" shrinkToFit="1"/>
    </xf>
    <xf numFmtId="0" fontId="10" fillId="20" borderId="31" xfId="0" applyFont="1" applyFill="1" applyBorder="1" applyAlignment="1" applyProtection="1">
      <alignment horizontal="center" vertical="center" wrapText="1" shrinkToFit="1"/>
    </xf>
    <xf numFmtId="0" fontId="10" fillId="20" borderId="32" xfId="0" applyFont="1" applyFill="1" applyBorder="1" applyAlignment="1" applyProtection="1">
      <alignment horizontal="center" vertical="center" wrapText="1" shrinkToFit="1"/>
    </xf>
    <xf numFmtId="0" fontId="10" fillId="20" borderId="28" xfId="0" applyFont="1" applyFill="1" applyBorder="1" applyAlignment="1" applyProtection="1">
      <alignment horizontal="center" vertical="center" wrapText="1" shrinkToFit="1"/>
    </xf>
    <xf numFmtId="0" fontId="10" fillId="20" borderId="1" xfId="0" applyFont="1" applyFill="1" applyBorder="1" applyAlignment="1" applyProtection="1">
      <alignment horizontal="center" vertical="center" wrapText="1" shrinkToFit="1"/>
    </xf>
    <xf numFmtId="0" fontId="10" fillId="20" borderId="0" xfId="0" applyFont="1" applyFill="1" applyBorder="1" applyAlignment="1" applyProtection="1">
      <alignment horizontal="center" vertical="center" wrapText="1" shrinkToFit="1"/>
    </xf>
    <xf numFmtId="0" fontId="10" fillId="20" borderId="2" xfId="0" applyFont="1" applyFill="1" applyBorder="1" applyAlignment="1" applyProtection="1">
      <alignment horizontal="center" vertical="center" wrapText="1" shrinkToFit="1"/>
    </xf>
    <xf numFmtId="0" fontId="6" fillId="9" borderId="1" xfId="0" applyFont="1" applyFill="1" applyBorder="1" applyAlignment="1" applyProtection="1">
      <alignment horizontal="center" vertical="center" wrapText="1" shrinkToFit="1"/>
    </xf>
    <xf numFmtId="0" fontId="6" fillId="9" borderId="0" xfId="0" applyFont="1" applyFill="1" applyBorder="1" applyAlignment="1" applyProtection="1">
      <alignment horizontal="center" vertical="center" wrapText="1" shrinkToFit="1"/>
    </xf>
    <xf numFmtId="0" fontId="6" fillId="9" borderId="2" xfId="0" applyFont="1" applyFill="1" applyBorder="1" applyAlignment="1" applyProtection="1">
      <alignment horizontal="center" vertical="center" wrapText="1" shrinkToFit="1"/>
    </xf>
    <xf numFmtId="0" fontId="6" fillId="8" borderId="25" xfId="0" applyFont="1" applyFill="1" applyBorder="1" applyAlignment="1" applyProtection="1">
      <alignment horizontal="left" vertical="center" wrapText="1"/>
    </xf>
    <xf numFmtId="0" fontId="6" fillId="8" borderId="21" xfId="0" applyFont="1" applyFill="1" applyBorder="1" applyAlignment="1" applyProtection="1">
      <alignment horizontal="left" vertical="center" wrapText="1"/>
    </xf>
    <xf numFmtId="0" fontId="6" fillId="8" borderId="24" xfId="0" applyFont="1" applyFill="1" applyBorder="1" applyAlignment="1" applyProtection="1">
      <alignment horizontal="left" vertical="center" wrapText="1"/>
    </xf>
    <xf numFmtId="0" fontId="6" fillId="8" borderId="1" xfId="0" applyFont="1" applyFill="1" applyBorder="1" applyAlignment="1" applyProtection="1">
      <alignment horizontal="left" vertical="center" wrapText="1"/>
    </xf>
    <xf numFmtId="0" fontId="6" fillId="8" borderId="0" xfId="0" applyFont="1" applyFill="1" applyBorder="1" applyAlignment="1" applyProtection="1">
      <alignment horizontal="left" vertical="center" wrapText="1"/>
    </xf>
    <xf numFmtId="0" fontId="6" fillId="8" borderId="2" xfId="0" applyFont="1" applyFill="1" applyBorder="1" applyAlignment="1" applyProtection="1">
      <alignment horizontal="left" vertical="center" wrapText="1"/>
    </xf>
    <xf numFmtId="0" fontId="6" fillId="8" borderId="2" xfId="0" applyFont="1" applyFill="1" applyBorder="1" applyAlignment="1" applyProtection="1">
      <alignment wrapText="1" shrinkToFit="1"/>
    </xf>
    <xf numFmtId="0" fontId="6" fillId="8" borderId="60" xfId="0" applyFont="1" applyFill="1" applyBorder="1" applyAlignment="1" applyProtection="1">
      <alignment wrapText="1" shrinkToFit="1"/>
    </xf>
    <xf numFmtId="49" fontId="6" fillId="4" borderId="61" xfId="0" applyNumberFormat="1" applyFont="1" applyFill="1" applyBorder="1" applyAlignment="1" applyProtection="1">
      <alignment horizontal="left" vertical="center" shrinkToFit="1"/>
      <protection locked="0"/>
    </xf>
    <xf numFmtId="49" fontId="6" fillId="4" borderId="62" xfId="0" applyNumberFormat="1" applyFont="1" applyFill="1" applyBorder="1" applyAlignment="1" applyProtection="1">
      <alignment horizontal="left" vertical="center" shrinkToFit="1"/>
      <protection locked="0"/>
    </xf>
    <xf numFmtId="49" fontId="6" fillId="4" borderId="63" xfId="0" applyNumberFormat="1" applyFont="1" applyFill="1" applyBorder="1" applyAlignment="1" applyProtection="1">
      <alignment horizontal="left" vertical="center" shrinkToFit="1"/>
      <protection locked="0"/>
    </xf>
    <xf numFmtId="0" fontId="19" fillId="8" borderId="0" xfId="0" applyFont="1" applyFill="1" applyBorder="1" applyAlignment="1" applyProtection="1">
      <alignment wrapText="1" shrinkToFit="1"/>
    </xf>
    <xf numFmtId="0" fontId="19" fillId="2" borderId="0" xfId="0" applyFont="1" applyFill="1" applyBorder="1" applyAlignment="1" applyProtection="1">
      <alignment horizontal="left" shrinkToFit="1"/>
    </xf>
    <xf numFmtId="0" fontId="6" fillId="11" borderId="25" xfId="0" applyFont="1" applyFill="1" applyBorder="1" applyAlignment="1" applyProtection="1">
      <alignment horizontal="left" vertical="center" wrapText="1"/>
    </xf>
    <xf numFmtId="0" fontId="6" fillId="11" borderId="21" xfId="0" applyFont="1" applyFill="1" applyBorder="1" applyAlignment="1" applyProtection="1">
      <alignment horizontal="left" vertical="center" wrapText="1"/>
    </xf>
    <xf numFmtId="0" fontId="6" fillId="11" borderId="24" xfId="0" applyFont="1" applyFill="1" applyBorder="1" applyAlignment="1" applyProtection="1">
      <alignment horizontal="left" vertical="center" wrapText="1"/>
    </xf>
    <xf numFmtId="0" fontId="6" fillId="11" borderId="1" xfId="0" applyFont="1" applyFill="1" applyBorder="1" applyAlignment="1" applyProtection="1">
      <alignment horizontal="left" vertical="center" wrapText="1"/>
    </xf>
    <xf numFmtId="0" fontId="6" fillId="11" borderId="0" xfId="0" applyFont="1" applyFill="1" applyBorder="1" applyAlignment="1" applyProtection="1">
      <alignment horizontal="left" vertical="center" wrapText="1"/>
    </xf>
    <xf numFmtId="0" fontId="6" fillId="11" borderId="2" xfId="0" applyFont="1" applyFill="1" applyBorder="1" applyAlignment="1" applyProtection="1">
      <alignment horizontal="left" vertical="center" wrapText="1"/>
    </xf>
    <xf numFmtId="0" fontId="6" fillId="11" borderId="26" xfId="0" applyFont="1" applyFill="1" applyBorder="1" applyAlignment="1" applyProtection="1">
      <alignment horizontal="left" vertical="center" wrapText="1"/>
    </xf>
    <xf numFmtId="0" fontId="6" fillId="11" borderId="23" xfId="0" applyFont="1" applyFill="1" applyBorder="1" applyAlignment="1" applyProtection="1">
      <alignment horizontal="left" vertical="center" wrapText="1"/>
    </xf>
    <xf numFmtId="0" fontId="6" fillId="11" borderId="27" xfId="0" applyFont="1" applyFill="1" applyBorder="1" applyAlignment="1" applyProtection="1">
      <alignment horizontal="left" vertical="center" wrapText="1"/>
    </xf>
    <xf numFmtId="0" fontId="10" fillId="11" borderId="29" xfId="5" applyFont="1" applyFill="1" applyBorder="1" applyAlignment="1" applyProtection="1">
      <alignment horizontal="left" vertical="center" wrapText="1"/>
    </xf>
    <xf numFmtId="0" fontId="10" fillId="11" borderId="14" xfId="5" applyFont="1" applyFill="1" applyBorder="1" applyAlignment="1" applyProtection="1">
      <alignment horizontal="left" vertical="center" wrapText="1"/>
    </xf>
    <xf numFmtId="0" fontId="10" fillId="11" borderId="20" xfId="5" applyFont="1" applyFill="1" applyBorder="1" applyAlignment="1" applyProtection="1">
      <alignment horizontal="left" vertical="center" wrapText="1"/>
    </xf>
    <xf numFmtId="0" fontId="6" fillId="8" borderId="0" xfId="0" applyFont="1" applyFill="1" applyBorder="1" applyAlignment="1" applyProtection="1">
      <alignment vertical="top" wrapText="1" shrinkToFit="1"/>
    </xf>
    <xf numFmtId="0" fontId="6" fillId="8" borderId="2" xfId="0" applyFont="1" applyFill="1" applyBorder="1" applyAlignment="1" applyProtection="1">
      <alignment vertical="top" wrapText="1" shrinkToFit="1"/>
    </xf>
    <xf numFmtId="0" fontId="19" fillId="8" borderId="0" xfId="0" applyFont="1" applyFill="1" applyBorder="1" applyAlignment="1" applyProtection="1">
      <alignment vertical="top" wrapText="1" shrinkToFit="1"/>
    </xf>
    <xf numFmtId="0" fontId="19" fillId="8" borderId="2" xfId="0" applyFont="1" applyFill="1" applyBorder="1" applyAlignment="1" applyProtection="1">
      <alignment vertical="top" wrapText="1" shrinkToFit="1"/>
    </xf>
    <xf numFmtId="0" fontId="33" fillId="2" borderId="18" xfId="0" applyFont="1" applyFill="1" applyBorder="1" applyAlignment="1" applyProtection="1">
      <alignment horizontal="center" shrinkToFit="1"/>
      <protection locked="0"/>
    </xf>
    <xf numFmtId="0" fontId="33" fillId="2" borderId="19" xfId="0" applyFont="1" applyFill="1" applyBorder="1" applyAlignment="1" applyProtection="1">
      <alignment horizontal="center" shrinkToFit="1"/>
      <protection locked="0"/>
    </xf>
    <xf numFmtId="0" fontId="33" fillId="2" borderId="6" xfId="0" applyFont="1" applyFill="1" applyBorder="1" applyAlignment="1" applyProtection="1">
      <alignment horizontal="center" shrinkToFit="1"/>
      <protection locked="0"/>
    </xf>
    <xf numFmtId="0" fontId="33" fillId="2" borderId="30" xfId="0" applyFont="1" applyFill="1" applyBorder="1" applyAlignment="1" applyProtection="1">
      <alignment horizontal="center" shrinkToFit="1"/>
      <protection locked="0"/>
    </xf>
    <xf numFmtId="0" fontId="33" fillId="2" borderId="17" xfId="0" applyFont="1" applyFill="1" applyBorder="1" applyAlignment="1" applyProtection="1">
      <alignment horizontal="center" shrinkToFit="1"/>
      <protection locked="0"/>
    </xf>
    <xf numFmtId="0" fontId="23" fillId="2" borderId="17" xfId="0" applyFont="1" applyFill="1" applyBorder="1" applyAlignment="1" applyProtection="1">
      <alignment horizontal="left" vertical="top" wrapText="1"/>
      <protection locked="0"/>
    </xf>
    <xf numFmtId="0" fontId="23" fillId="2" borderId="6" xfId="0" applyFont="1" applyFill="1" applyBorder="1" applyAlignment="1" applyProtection="1">
      <alignment horizontal="left" vertical="top" wrapText="1"/>
      <protection locked="0"/>
    </xf>
    <xf numFmtId="0" fontId="23" fillId="2" borderId="30" xfId="0" applyFont="1" applyFill="1" applyBorder="1" applyAlignment="1" applyProtection="1">
      <alignment horizontal="left" vertical="top" wrapText="1"/>
      <protection locked="0"/>
    </xf>
    <xf numFmtId="0" fontId="6" fillId="8" borderId="0" xfId="0" applyNumberFormat="1" applyFont="1" applyFill="1" applyBorder="1" applyAlignment="1" applyProtection="1">
      <alignment vertical="top" wrapText="1"/>
    </xf>
    <xf numFmtId="9" fontId="19" fillId="8" borderId="36" xfId="5" applyNumberFormat="1" applyFont="1" applyFill="1" applyBorder="1" applyAlignment="1" applyProtection="1">
      <alignment horizontal="right" vertical="top" wrapText="1"/>
      <protection locked="0"/>
    </xf>
    <xf numFmtId="9" fontId="19" fillId="8" borderId="34" xfId="5" applyNumberFormat="1" applyFont="1" applyFill="1" applyBorder="1" applyAlignment="1" applyProtection="1">
      <alignment horizontal="right" vertical="top" wrapText="1"/>
      <protection locked="0"/>
    </xf>
    <xf numFmtId="0" fontId="23" fillId="2" borderId="41" xfId="0" applyFont="1" applyFill="1" applyBorder="1" applyAlignment="1" applyProtection="1">
      <alignment horizontal="left" vertical="top" wrapText="1"/>
      <protection locked="0"/>
    </xf>
    <xf numFmtId="0" fontId="23" fillId="2" borderId="42" xfId="0" applyFont="1" applyFill="1" applyBorder="1" applyAlignment="1" applyProtection="1">
      <alignment horizontal="left" vertical="top" wrapText="1"/>
      <protection locked="0"/>
    </xf>
    <xf numFmtId="0" fontId="23" fillId="2" borderId="43" xfId="0" applyFont="1" applyFill="1" applyBorder="1" applyAlignment="1" applyProtection="1">
      <alignment horizontal="left" vertical="top" wrapText="1"/>
      <protection locked="0"/>
    </xf>
    <xf numFmtId="0" fontId="10" fillId="11" borderId="35" xfId="5" applyFont="1" applyFill="1" applyBorder="1" applyAlignment="1" applyProtection="1">
      <alignment horizontal="left" vertical="center" wrapText="1"/>
    </xf>
    <xf numFmtId="0" fontId="10" fillId="11" borderId="36" xfId="5" applyFont="1" applyFill="1" applyBorder="1" applyAlignment="1" applyProtection="1">
      <alignment horizontal="left" vertical="center" wrapText="1"/>
    </xf>
    <xf numFmtId="9" fontId="19" fillId="8" borderId="18" xfId="5" applyNumberFormat="1" applyFont="1" applyFill="1" applyBorder="1" applyAlignment="1" applyProtection="1">
      <alignment horizontal="left" vertical="center" wrapText="1"/>
      <protection locked="0"/>
    </xf>
    <xf numFmtId="9" fontId="19" fillId="8" borderId="14" xfId="5" applyNumberFormat="1" applyFont="1" applyFill="1" applyBorder="1" applyAlignment="1" applyProtection="1">
      <alignment horizontal="left" vertical="center" wrapText="1"/>
      <protection locked="0"/>
    </xf>
    <xf numFmtId="9" fontId="19" fillId="8" borderId="20" xfId="5" applyNumberFormat="1" applyFont="1" applyFill="1" applyBorder="1" applyAlignment="1" applyProtection="1">
      <alignment horizontal="left" vertical="center" wrapText="1"/>
      <protection locked="0"/>
    </xf>
    <xf numFmtId="0" fontId="10" fillId="18" borderId="31" xfId="0" applyFont="1" applyFill="1" applyBorder="1" applyAlignment="1" applyProtection="1">
      <alignment horizontal="center" vertical="center" wrapText="1" shrinkToFit="1"/>
    </xf>
    <xf numFmtId="0" fontId="10" fillId="18" borderId="32" xfId="0" applyFont="1" applyFill="1" applyBorder="1" applyAlignment="1" applyProtection="1">
      <alignment horizontal="center" vertical="center" wrapText="1" shrinkToFit="1"/>
    </xf>
    <xf numFmtId="0" fontId="10" fillId="18" borderId="28" xfId="0" applyFont="1" applyFill="1" applyBorder="1" applyAlignment="1" applyProtection="1">
      <alignment horizontal="center" vertical="center" wrapText="1" shrinkToFit="1"/>
    </xf>
    <xf numFmtId="0" fontId="10" fillId="18" borderId="1" xfId="0" applyFont="1" applyFill="1" applyBorder="1" applyAlignment="1" applyProtection="1">
      <alignment horizontal="center" vertical="center" wrapText="1" shrinkToFit="1"/>
    </xf>
    <xf numFmtId="0" fontId="10" fillId="18" borderId="0" xfId="0" applyFont="1" applyFill="1" applyBorder="1" applyAlignment="1" applyProtection="1">
      <alignment horizontal="center" vertical="center" wrapText="1" shrinkToFit="1"/>
    </xf>
    <xf numFmtId="0" fontId="10" fillId="18" borderId="2" xfId="0" applyFont="1" applyFill="1" applyBorder="1" applyAlignment="1" applyProtection="1">
      <alignment horizontal="center" vertical="center" wrapText="1" shrinkToFit="1"/>
    </xf>
    <xf numFmtId="0" fontId="6" fillId="8" borderId="1" xfId="0" applyNumberFormat="1" applyFont="1" applyFill="1" applyBorder="1" applyAlignment="1" applyProtection="1">
      <alignment horizontal="left" vertical="center" wrapText="1"/>
    </xf>
    <xf numFmtId="0" fontId="6" fillId="8" borderId="0" xfId="0" applyNumberFormat="1" applyFont="1" applyFill="1" applyBorder="1" applyAlignment="1" applyProtection="1">
      <alignment horizontal="left" vertical="center" wrapText="1"/>
    </xf>
    <xf numFmtId="0" fontId="6" fillId="8" borderId="2" xfId="0" applyNumberFormat="1" applyFont="1" applyFill="1" applyBorder="1" applyAlignment="1" applyProtection="1">
      <alignment horizontal="left" vertical="center" wrapText="1"/>
    </xf>
    <xf numFmtId="0" fontId="0" fillId="0" borderId="18" xfId="0" applyBorder="1" applyAlignment="1">
      <alignment horizontal="left"/>
    </xf>
    <xf numFmtId="0" fontId="0" fillId="0" borderId="19" xfId="0" applyBorder="1" applyAlignment="1">
      <alignment horizontal="left"/>
    </xf>
    <xf numFmtId="0" fontId="6" fillId="0" borderId="18" xfId="0" applyFont="1" applyBorder="1" applyAlignment="1">
      <alignment horizontal="left"/>
    </xf>
    <xf numFmtId="0" fontId="6" fillId="0" borderId="19" xfId="0" applyFont="1" applyBorder="1" applyAlignment="1">
      <alignment horizontal="left"/>
    </xf>
    <xf numFmtId="0" fontId="0" fillId="0" borderId="18" xfId="0" applyBorder="1"/>
    <xf numFmtId="0" fontId="0" fillId="0" borderId="19" xfId="0" applyBorder="1"/>
    <xf numFmtId="0" fontId="6" fillId="2" borderId="18" xfId="0" applyFont="1" applyFill="1" applyBorder="1" applyAlignment="1" applyProtection="1">
      <alignment shrinkToFit="1"/>
      <protection locked="0"/>
    </xf>
    <xf numFmtId="0" fontId="6" fillId="2" borderId="14" xfId="0" applyFont="1" applyFill="1" applyBorder="1" applyAlignment="1" applyProtection="1">
      <alignment shrinkToFit="1"/>
      <protection locked="0"/>
    </xf>
    <xf numFmtId="0" fontId="6" fillId="2" borderId="20" xfId="0" applyFont="1" applyFill="1" applyBorder="1" applyAlignment="1" applyProtection="1">
      <alignment shrinkToFit="1"/>
      <protection locked="0"/>
    </xf>
    <xf numFmtId="0" fontId="6" fillId="2" borderId="29" xfId="0" applyFont="1" applyFill="1" applyBorder="1" applyAlignment="1" applyProtection="1">
      <alignment shrinkToFit="1"/>
      <protection locked="0"/>
    </xf>
    <xf numFmtId="0" fontId="6" fillId="2" borderId="19" xfId="0" applyFont="1" applyFill="1" applyBorder="1" applyAlignment="1" applyProtection="1">
      <alignment shrinkToFit="1"/>
      <protection locked="0"/>
    </xf>
    <xf numFmtId="0" fontId="27" fillId="9" borderId="64" xfId="0" applyFont="1" applyFill="1" applyBorder="1" applyAlignment="1" applyProtection="1">
      <alignment horizontal="left" vertical="center"/>
    </xf>
    <xf numFmtId="0" fontId="27" fillId="9" borderId="65" xfId="0" applyFont="1" applyFill="1" applyBorder="1" applyAlignment="1" applyProtection="1">
      <alignment horizontal="left" vertical="center"/>
    </xf>
    <xf numFmtId="0" fontId="27" fillId="9" borderId="49" xfId="0" applyFont="1" applyFill="1" applyBorder="1" applyAlignment="1" applyProtection="1">
      <alignment horizontal="left" vertical="center"/>
    </xf>
    <xf numFmtId="44" fontId="27" fillId="9" borderId="66" xfId="0" applyNumberFormat="1" applyFont="1" applyFill="1" applyBorder="1" applyAlignment="1" applyProtection="1">
      <alignment horizontal="left" vertical="center"/>
    </xf>
    <xf numFmtId="44" fontId="27" fillId="9" borderId="65" xfId="0" applyNumberFormat="1" applyFont="1" applyFill="1" applyBorder="1" applyAlignment="1" applyProtection="1">
      <alignment horizontal="left" vertical="center"/>
    </xf>
    <xf numFmtId="44" fontId="27" fillId="9" borderId="67" xfId="0" applyNumberFormat="1" applyFont="1" applyFill="1" applyBorder="1" applyAlignment="1" applyProtection="1">
      <alignment horizontal="left" vertical="center"/>
    </xf>
    <xf numFmtId="0" fontId="25" fillId="4" borderId="29" xfId="0" applyFont="1" applyFill="1" applyBorder="1" applyAlignment="1" applyProtection="1">
      <alignment horizontal="center" vertical="center" wrapText="1"/>
    </xf>
    <xf numFmtId="0" fontId="25" fillId="4" borderId="14" xfId="0" applyFont="1" applyFill="1" applyBorder="1" applyAlignment="1" applyProtection="1">
      <alignment horizontal="center" vertical="center" wrapText="1"/>
    </xf>
    <xf numFmtId="0" fontId="25" fillId="4" borderId="20" xfId="0" applyFont="1" applyFill="1" applyBorder="1" applyAlignment="1" applyProtection="1">
      <alignment horizontal="center" vertical="center" wrapText="1"/>
    </xf>
    <xf numFmtId="0" fontId="27" fillId="9" borderId="29" xfId="0" applyFont="1" applyFill="1" applyBorder="1" applyAlignment="1" applyProtection="1">
      <alignment horizontal="left" vertical="center"/>
    </xf>
    <xf numFmtId="0" fontId="27" fillId="9" borderId="14" xfId="0" applyFont="1" applyFill="1" applyBorder="1" applyAlignment="1" applyProtection="1">
      <alignment horizontal="left" vertical="center"/>
    </xf>
    <xf numFmtId="0" fontId="27" fillId="9" borderId="19" xfId="0" applyFont="1" applyFill="1" applyBorder="1" applyAlignment="1" applyProtection="1">
      <alignment horizontal="left" vertical="center"/>
    </xf>
    <xf numFmtId="44" fontId="27" fillId="9" borderId="18" xfId="0" applyNumberFormat="1" applyFont="1" applyFill="1" applyBorder="1" applyAlignment="1" applyProtection="1">
      <alignment horizontal="left" vertical="center"/>
    </xf>
    <xf numFmtId="44" fontId="27" fillId="9" borderId="14" xfId="0" applyNumberFormat="1" applyFont="1" applyFill="1" applyBorder="1" applyAlignment="1" applyProtection="1">
      <alignment horizontal="left" vertical="center"/>
    </xf>
    <xf numFmtId="44" fontId="27" fillId="9" borderId="20" xfId="0" applyNumberFormat="1" applyFont="1" applyFill="1" applyBorder="1" applyAlignment="1" applyProtection="1">
      <alignment horizontal="left" vertical="center"/>
    </xf>
    <xf numFmtId="0" fontId="19" fillId="4" borderId="25" xfId="0" applyFont="1" applyFill="1" applyBorder="1" applyAlignment="1" applyProtection="1">
      <alignment horizontal="center" vertical="center" wrapText="1"/>
    </xf>
    <xf numFmtId="0" fontId="19" fillId="4" borderId="21" xfId="0" applyFont="1" applyFill="1" applyBorder="1" applyAlignment="1" applyProtection="1">
      <alignment horizontal="center" vertical="center" wrapText="1"/>
    </xf>
    <xf numFmtId="0" fontId="19" fillId="4" borderId="68"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69" xfId="0" applyFont="1" applyFill="1" applyBorder="1" applyAlignment="1" applyProtection="1">
      <alignment horizontal="center" vertical="center" wrapText="1"/>
    </xf>
    <xf numFmtId="0" fontId="19" fillId="4" borderId="26" xfId="0" applyFont="1" applyFill="1" applyBorder="1" applyAlignment="1" applyProtection="1">
      <alignment horizontal="center" vertical="center" wrapText="1"/>
    </xf>
    <xf numFmtId="0" fontId="19" fillId="4" borderId="23" xfId="0" applyFont="1" applyFill="1" applyBorder="1" applyAlignment="1" applyProtection="1">
      <alignment horizontal="center" vertical="center" wrapText="1"/>
    </xf>
    <xf numFmtId="0" fontId="19" fillId="4" borderId="48" xfId="0" applyFont="1" applyFill="1" applyBorder="1" applyAlignment="1" applyProtection="1">
      <alignment horizontal="center" vertical="center" wrapText="1"/>
    </xf>
    <xf numFmtId="0" fontId="19" fillId="4" borderId="50" xfId="0" applyFont="1" applyFill="1" applyBorder="1" applyAlignment="1" applyProtection="1">
      <alignment horizontal="center" vertical="center" wrapText="1"/>
    </xf>
    <xf numFmtId="0" fontId="19" fillId="4" borderId="70" xfId="0" applyFont="1" applyFill="1" applyBorder="1" applyAlignment="1" applyProtection="1">
      <alignment horizontal="center" vertical="center" wrapText="1"/>
    </xf>
    <xf numFmtId="0" fontId="19" fillId="4" borderId="36"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1" xfId="0" applyFont="1" applyFill="1" applyBorder="1" applyAlignment="1" applyProtection="1">
      <alignment horizontal="center" vertical="center" wrapText="1"/>
    </xf>
    <xf numFmtId="0" fontId="19" fillId="4" borderId="24" xfId="0" applyFont="1" applyFill="1" applyBorder="1" applyAlignment="1" applyProtection="1">
      <alignment horizontal="center" vertical="center" wrapText="1"/>
    </xf>
    <xf numFmtId="0" fontId="19" fillId="4" borderId="72" xfId="0"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9" fillId="4" borderId="73" xfId="0" applyFont="1" applyFill="1" applyBorder="1" applyAlignment="1" applyProtection="1">
      <alignment horizontal="center" vertical="center" wrapText="1"/>
    </xf>
    <xf numFmtId="0" fontId="19" fillId="4" borderId="27" xfId="0" applyFont="1" applyFill="1" applyBorder="1" applyAlignment="1" applyProtection="1">
      <alignment horizontal="center" vertical="center" wrapText="1"/>
    </xf>
    <xf numFmtId="0" fontId="23" fillId="5" borderId="29" xfId="0" applyFont="1" applyFill="1" applyBorder="1" applyAlignment="1" applyProtection="1">
      <alignment horizontal="center" vertical="center" wrapText="1"/>
    </xf>
    <xf numFmtId="0" fontId="23" fillId="5" borderId="14" xfId="0" applyFont="1" applyFill="1" applyBorder="1" applyAlignment="1" applyProtection="1">
      <alignment horizontal="center" vertical="center" wrapText="1"/>
    </xf>
    <xf numFmtId="0" fontId="23" fillId="5" borderId="20" xfId="0" applyFont="1" applyFill="1" applyBorder="1" applyAlignment="1" applyProtection="1">
      <alignment horizontal="center" vertical="center" wrapText="1"/>
    </xf>
    <xf numFmtId="0" fontId="25" fillId="9" borderId="17" xfId="0" applyFont="1" applyFill="1" applyBorder="1" applyAlignment="1" applyProtection="1">
      <alignment horizontal="center" vertical="center" wrapText="1"/>
    </xf>
    <xf numFmtId="0" fontId="25" fillId="9" borderId="6" xfId="0" applyFont="1" applyFill="1" applyBorder="1" applyAlignment="1" applyProtection="1">
      <alignment horizontal="center" vertical="center" wrapText="1"/>
    </xf>
    <xf numFmtId="0" fontId="25" fillId="9" borderId="30" xfId="0" applyFont="1" applyFill="1" applyBorder="1" applyAlignment="1" applyProtection="1">
      <alignment horizontal="center" vertical="center" wrapText="1"/>
    </xf>
    <xf numFmtId="0" fontId="30" fillId="4" borderId="50" xfId="0" applyFont="1" applyFill="1" applyBorder="1" applyAlignment="1" applyProtection="1">
      <alignment horizontal="center" vertical="center" wrapText="1" shrinkToFit="1"/>
    </xf>
    <xf numFmtId="0" fontId="30" fillId="4" borderId="70" xfId="0" applyFont="1" applyFill="1" applyBorder="1" applyAlignment="1" applyProtection="1">
      <alignment horizontal="center" vertical="center" wrapText="1" shrinkToFit="1"/>
    </xf>
    <xf numFmtId="0" fontId="30" fillId="4" borderId="36" xfId="0" applyFont="1" applyFill="1" applyBorder="1" applyAlignment="1" applyProtection="1">
      <alignment horizontal="center" vertical="center" wrapText="1" shrinkToFit="1"/>
    </xf>
    <xf numFmtId="0" fontId="27" fillId="9" borderId="17" xfId="0" applyFont="1" applyFill="1" applyBorder="1" applyAlignment="1" applyProtection="1">
      <alignment vertical="center"/>
    </xf>
    <xf numFmtId="0" fontId="27" fillId="9" borderId="6" xfId="0" applyFont="1" applyFill="1" applyBorder="1" applyAlignment="1" applyProtection="1">
      <alignment vertical="center"/>
    </xf>
    <xf numFmtId="0" fontId="27" fillId="9" borderId="6" xfId="0" applyFont="1" applyFill="1" applyBorder="1" applyAlignment="1" applyProtection="1">
      <alignment horizontal="left" vertical="center"/>
    </xf>
    <xf numFmtId="0" fontId="0" fillId="0" borderId="21" xfId="0" applyBorder="1" applyProtection="1"/>
    <xf numFmtId="0" fontId="0" fillId="0" borderId="24" xfId="0" applyBorder="1" applyProtection="1"/>
    <xf numFmtId="0" fontId="0" fillId="0" borderId="72" xfId="0" applyBorder="1" applyProtection="1"/>
    <xf numFmtId="0" fontId="0" fillId="0" borderId="0" xfId="0" applyBorder="1" applyProtection="1"/>
    <xf numFmtId="0" fontId="0" fillId="0" borderId="2" xfId="0" applyBorder="1" applyProtection="1"/>
    <xf numFmtId="0" fontId="0" fillId="0" borderId="73" xfId="0" applyBorder="1" applyProtection="1"/>
    <xf numFmtId="0" fontId="0" fillId="0" borderId="23" xfId="0" applyBorder="1" applyProtection="1"/>
    <xf numFmtId="0" fontId="0" fillId="0" borderId="27" xfId="0" applyBorder="1" applyProtection="1"/>
    <xf numFmtId="0" fontId="0" fillId="0" borderId="14" xfId="0" applyBorder="1" applyProtection="1">
      <protection locked="0"/>
    </xf>
    <xf numFmtId="0" fontId="0" fillId="0" borderId="20" xfId="0" applyBorder="1" applyProtection="1">
      <protection locked="0"/>
    </xf>
    <xf numFmtId="0" fontId="6" fillId="0" borderId="32" xfId="0" applyFont="1" applyBorder="1" applyAlignment="1" applyProtection="1">
      <alignment horizontal="left"/>
    </xf>
    <xf numFmtId="44" fontId="6" fillId="2" borderId="74" xfId="1" applyFont="1" applyFill="1" applyBorder="1" applyAlignment="1" applyProtection="1">
      <alignment horizontal="center"/>
    </xf>
    <xf numFmtId="44" fontId="6" fillId="2" borderId="75" xfId="1" applyFont="1" applyFill="1" applyBorder="1" applyAlignment="1" applyProtection="1">
      <alignment horizontal="center"/>
    </xf>
    <xf numFmtId="44" fontId="6" fillId="2" borderId="76" xfId="1" applyFont="1" applyFill="1" applyBorder="1" applyAlignment="1" applyProtection="1">
      <alignment horizontal="center"/>
    </xf>
    <xf numFmtId="44" fontId="6" fillId="9" borderId="77" xfId="1" applyFont="1" applyFill="1" applyBorder="1" applyAlignment="1" applyProtection="1">
      <alignment horizontal="center"/>
    </xf>
    <xf numFmtId="44" fontId="6" fillId="9" borderId="78" xfId="1" applyFont="1" applyFill="1" applyBorder="1" applyAlignment="1" applyProtection="1">
      <alignment horizontal="center"/>
    </xf>
    <xf numFmtId="44" fontId="6" fillId="9" borderId="12" xfId="1" applyFont="1" applyFill="1" applyBorder="1" applyAlignment="1" applyProtection="1">
      <alignment horizontal="center"/>
    </xf>
    <xf numFmtId="0" fontId="5" fillId="7" borderId="80" xfId="0" applyFont="1" applyFill="1" applyBorder="1" applyAlignment="1" applyProtection="1">
      <alignment horizontal="center" vertical="center" wrapText="1"/>
    </xf>
    <xf numFmtId="0" fontId="5" fillId="7" borderId="81" xfId="0" applyFont="1" applyFill="1" applyBorder="1" applyAlignment="1" applyProtection="1">
      <alignment horizontal="center" vertical="center" wrapText="1"/>
    </xf>
    <xf numFmtId="0" fontId="5" fillId="7" borderId="82" xfId="0" applyFont="1" applyFill="1" applyBorder="1" applyAlignment="1" applyProtection="1">
      <alignment horizontal="center" vertical="center" wrapText="1"/>
    </xf>
    <xf numFmtId="0" fontId="19" fillId="11" borderId="77" xfId="5" applyFont="1" applyFill="1" applyBorder="1" applyAlignment="1" applyProtection="1">
      <alignment horizontal="center" vertical="center" wrapText="1"/>
    </xf>
    <xf numFmtId="0" fontId="19" fillId="11" borderId="78" xfId="5" applyFont="1" applyFill="1" applyBorder="1" applyAlignment="1" applyProtection="1">
      <alignment horizontal="center" vertical="center" wrapText="1"/>
    </xf>
    <xf numFmtId="0" fontId="19" fillId="11" borderId="13" xfId="5" applyFont="1" applyFill="1" applyBorder="1" applyAlignment="1" applyProtection="1">
      <alignment horizontal="center" vertical="center" wrapText="1"/>
    </xf>
    <xf numFmtId="0" fontId="19" fillId="11" borderId="23" xfId="5" applyFont="1" applyFill="1" applyBorder="1" applyAlignment="1" applyProtection="1">
      <alignment horizontal="center" vertical="center" wrapText="1"/>
    </xf>
    <xf numFmtId="0" fontId="19" fillId="11" borderId="14" xfId="5" applyFont="1" applyFill="1" applyBorder="1" applyAlignment="1" applyProtection="1">
      <alignment horizontal="center" vertical="center" wrapText="1"/>
    </xf>
    <xf numFmtId="0" fontId="19" fillId="11" borderId="21" xfId="5" applyFont="1" applyFill="1" applyBorder="1" applyAlignment="1" applyProtection="1">
      <alignment horizontal="center" vertical="center" wrapText="1"/>
    </xf>
    <xf numFmtId="44" fontId="6" fillId="11" borderId="77" xfId="1" applyFont="1" applyFill="1" applyBorder="1" applyAlignment="1" applyProtection="1">
      <alignment horizontal="center"/>
    </xf>
    <xf numFmtId="44" fontId="6" fillId="11" borderId="78" xfId="1" applyFont="1" applyFill="1" applyBorder="1" applyAlignment="1" applyProtection="1">
      <alignment horizontal="center"/>
    </xf>
    <xf numFmtId="44" fontId="6" fillId="11" borderId="79" xfId="1" applyFont="1" applyFill="1" applyBorder="1" applyAlignment="1" applyProtection="1">
      <alignment horizontal="center"/>
    </xf>
    <xf numFmtId="0" fontId="19" fillId="9" borderId="87" xfId="5" applyFont="1" applyFill="1" applyBorder="1" applyAlignment="1" applyProtection="1">
      <alignment horizontal="center" vertical="center" textRotation="90"/>
    </xf>
    <xf numFmtId="0" fontId="19" fillId="9" borderId="88" xfId="5" applyFont="1" applyFill="1" applyBorder="1" applyAlignment="1" applyProtection="1">
      <alignment horizontal="center" vertical="center" textRotation="90"/>
    </xf>
    <xf numFmtId="0" fontId="19" fillId="9" borderId="89" xfId="5" applyFont="1" applyFill="1" applyBorder="1" applyAlignment="1" applyProtection="1">
      <alignment horizontal="center" vertical="center" textRotation="90"/>
    </xf>
    <xf numFmtId="0" fontId="19" fillId="11" borderId="83" xfId="5" applyFont="1" applyFill="1" applyBorder="1" applyAlignment="1" applyProtection="1">
      <alignment horizontal="center" vertical="center" wrapText="1"/>
    </xf>
    <xf numFmtId="0" fontId="19" fillId="11" borderId="84" xfId="5" applyFont="1" applyFill="1" applyBorder="1" applyAlignment="1" applyProtection="1">
      <alignment horizontal="center" vertical="center" wrapText="1"/>
    </xf>
    <xf numFmtId="0" fontId="19" fillId="11" borderId="85" xfId="5" applyFont="1" applyFill="1" applyBorder="1" applyAlignment="1" applyProtection="1">
      <alignment horizontal="center" vertical="center" wrapText="1"/>
    </xf>
    <xf numFmtId="0" fontId="19" fillId="11" borderId="60" xfId="5" applyFont="1" applyFill="1" applyBorder="1" applyAlignment="1" applyProtection="1">
      <alignment horizontal="center" vertical="center" wrapText="1"/>
    </xf>
    <xf numFmtId="0" fontId="19" fillId="9" borderId="83" xfId="5" applyFont="1" applyFill="1" applyBorder="1" applyAlignment="1" applyProtection="1">
      <alignment horizontal="center" vertical="center" wrapText="1"/>
    </xf>
    <xf numFmtId="0" fontId="19" fillId="9" borderId="84" xfId="5" applyFont="1" applyFill="1" applyBorder="1" applyAlignment="1" applyProtection="1">
      <alignment horizontal="center" vertical="center" wrapText="1"/>
    </xf>
    <xf numFmtId="0" fontId="19" fillId="9" borderId="85" xfId="5" applyFont="1" applyFill="1" applyBorder="1" applyAlignment="1" applyProtection="1">
      <alignment horizontal="center" vertical="center" wrapText="1"/>
    </xf>
    <xf numFmtId="0" fontId="19" fillId="9" borderId="60" xfId="5" applyFont="1" applyFill="1" applyBorder="1" applyAlignment="1" applyProtection="1">
      <alignment horizontal="center" vertical="center" wrapText="1"/>
    </xf>
    <xf numFmtId="0" fontId="19" fillId="9" borderId="11" xfId="5" applyFont="1" applyFill="1" applyBorder="1" applyAlignment="1" applyProtection="1">
      <alignment horizontal="center" vertical="center" wrapText="1"/>
    </xf>
    <xf numFmtId="0" fontId="19" fillId="9" borderId="86" xfId="5" applyFont="1" applyFill="1" applyBorder="1" applyAlignment="1" applyProtection="1">
      <alignment horizontal="center" vertical="center" wrapText="1"/>
    </xf>
    <xf numFmtId="0" fontId="19" fillId="18" borderId="31" xfId="5" applyFont="1" applyFill="1" applyBorder="1" applyAlignment="1" applyProtection="1">
      <alignment horizontal="center" vertical="center"/>
    </xf>
    <xf numFmtId="0" fontId="19" fillId="18" borderId="32" xfId="5" applyFont="1" applyFill="1" applyBorder="1" applyAlignment="1" applyProtection="1">
      <alignment horizontal="center" vertical="center"/>
    </xf>
    <xf numFmtId="0" fontId="19" fillId="18" borderId="1" xfId="5" applyFont="1" applyFill="1" applyBorder="1" applyAlignment="1" applyProtection="1">
      <alignment horizontal="center" vertical="center"/>
    </xf>
    <xf numFmtId="0" fontId="19" fillId="18" borderId="0" xfId="5" applyFont="1" applyFill="1" applyBorder="1" applyAlignment="1" applyProtection="1">
      <alignment horizontal="center" vertical="center"/>
    </xf>
    <xf numFmtId="0" fontId="19" fillId="18" borderId="90" xfId="5" applyFont="1" applyFill="1" applyBorder="1" applyAlignment="1" applyProtection="1">
      <alignment horizontal="center" vertical="center"/>
    </xf>
    <xf numFmtId="0" fontId="19" fillId="9" borderId="91" xfId="5" applyFont="1" applyFill="1" applyBorder="1" applyAlignment="1" applyProtection="1">
      <alignment horizontal="center" vertical="center"/>
    </xf>
    <xf numFmtId="0" fontId="19" fillId="9" borderId="32" xfId="5" applyFont="1" applyFill="1" applyBorder="1" applyAlignment="1" applyProtection="1">
      <alignment horizontal="center" vertical="center"/>
    </xf>
    <xf numFmtId="0" fontId="19" fillId="9" borderId="85" xfId="5" applyFont="1" applyFill="1" applyBorder="1" applyAlignment="1" applyProtection="1">
      <alignment horizontal="center" vertical="center"/>
    </xf>
    <xf numFmtId="0" fontId="19" fillId="9" borderId="0" xfId="5" applyFont="1" applyFill="1" applyBorder="1" applyAlignment="1" applyProtection="1">
      <alignment horizontal="center" vertical="center"/>
    </xf>
    <xf numFmtId="0" fontId="19" fillId="9" borderId="92" xfId="5" applyFont="1" applyFill="1" applyBorder="1" applyAlignment="1" applyProtection="1">
      <alignment horizontal="center" vertical="center"/>
    </xf>
    <xf numFmtId="0" fontId="19" fillId="9" borderId="93" xfId="5" applyFont="1" applyFill="1" applyBorder="1" applyAlignment="1" applyProtection="1">
      <alignment horizontal="center" vertical="center"/>
    </xf>
    <xf numFmtId="9" fontId="19" fillId="8" borderId="18" xfId="5" applyNumberFormat="1" applyFont="1" applyFill="1" applyBorder="1" applyAlignment="1" applyProtection="1">
      <alignment horizontal="right" vertical="top" wrapText="1"/>
      <protection locked="0"/>
    </xf>
    <xf numFmtId="9" fontId="19" fillId="8" borderId="14" xfId="5" applyNumberFormat="1" applyFont="1" applyFill="1" applyBorder="1" applyAlignment="1" applyProtection="1">
      <alignment horizontal="right" vertical="top" wrapText="1"/>
      <protection locked="0"/>
    </xf>
    <xf numFmtId="9" fontId="19" fillId="8" borderId="20" xfId="5" applyNumberFormat="1" applyFont="1" applyFill="1" applyBorder="1" applyAlignment="1" applyProtection="1">
      <alignment horizontal="right" vertical="top" wrapText="1"/>
      <protection locked="0"/>
    </xf>
    <xf numFmtId="0" fontId="6" fillId="8" borderId="18" xfId="0" applyFont="1" applyFill="1" applyBorder="1" applyAlignment="1" applyProtection="1">
      <alignment shrinkToFit="1"/>
      <protection locked="0"/>
    </xf>
    <xf numFmtId="0" fontId="6" fillId="8" borderId="14" xfId="0" applyFont="1" applyFill="1" applyBorder="1" applyAlignment="1" applyProtection="1">
      <alignment shrinkToFit="1"/>
      <protection locked="0"/>
    </xf>
    <xf numFmtId="0" fontId="6" fillId="8" borderId="19" xfId="0" applyFont="1" applyFill="1" applyBorder="1" applyAlignment="1" applyProtection="1">
      <alignment shrinkToFit="1"/>
      <protection locked="0"/>
    </xf>
    <xf numFmtId="0" fontId="6" fillId="8" borderId="18" xfId="0" applyFont="1" applyFill="1" applyBorder="1" applyAlignment="1" applyProtection="1">
      <alignment horizontal="left" shrinkToFit="1"/>
      <protection locked="0"/>
    </xf>
    <xf numFmtId="0" fontId="6" fillId="8" borderId="14" xfId="0" applyFont="1" applyFill="1" applyBorder="1" applyAlignment="1" applyProtection="1">
      <alignment horizontal="left" shrinkToFit="1"/>
      <protection locked="0"/>
    </xf>
    <xf numFmtId="0" fontId="6" fillId="8" borderId="19" xfId="0" applyFont="1" applyFill="1" applyBorder="1" applyAlignment="1" applyProtection="1">
      <alignment horizontal="left" shrinkToFit="1"/>
      <protection locked="0"/>
    </xf>
    <xf numFmtId="0" fontId="6" fillId="0" borderId="18" xfId="0" applyFont="1" applyFill="1" applyBorder="1" applyAlignment="1" applyProtection="1">
      <alignment shrinkToFit="1"/>
      <protection locked="0"/>
    </xf>
    <xf numFmtId="0" fontId="6" fillId="0" borderId="14" xfId="0" applyFont="1" applyFill="1" applyBorder="1" applyAlignment="1" applyProtection="1">
      <alignment shrinkToFit="1"/>
      <protection locked="0"/>
    </xf>
    <xf numFmtId="0" fontId="6" fillId="0" borderId="19" xfId="0" applyFont="1" applyFill="1" applyBorder="1" applyAlignment="1" applyProtection="1">
      <alignment shrinkToFit="1"/>
      <protection locked="0"/>
    </xf>
    <xf numFmtId="0" fontId="6" fillId="18" borderId="18" xfId="0" applyFont="1" applyFill="1" applyBorder="1" applyAlignment="1" applyProtection="1">
      <alignment shrinkToFit="1"/>
      <protection locked="0"/>
    </xf>
    <xf numFmtId="0" fontId="6" fillId="18" borderId="14" xfId="0" applyFont="1" applyFill="1" applyBorder="1" applyAlignment="1" applyProtection="1">
      <alignment shrinkToFit="1"/>
      <protection locked="0"/>
    </xf>
    <xf numFmtId="0" fontId="6" fillId="18" borderId="19" xfId="0" applyFont="1" applyFill="1" applyBorder="1" applyAlignment="1" applyProtection="1">
      <alignment shrinkToFit="1"/>
      <protection locked="0"/>
    </xf>
    <xf numFmtId="0" fontId="0" fillId="2" borderId="18" xfId="0" applyFont="1" applyFill="1" applyBorder="1" applyAlignment="1" applyProtection="1">
      <alignment shrinkToFit="1"/>
      <protection locked="0"/>
    </xf>
    <xf numFmtId="0" fontId="0" fillId="2" borderId="19" xfId="0" applyFont="1" applyFill="1" applyBorder="1" applyAlignment="1" applyProtection="1">
      <alignment shrinkToFit="1"/>
      <protection locked="0"/>
    </xf>
    <xf numFmtId="0" fontId="0" fillId="0" borderId="18" xfId="0" applyFont="1" applyFill="1" applyBorder="1" applyAlignment="1" applyProtection="1">
      <alignment shrinkToFit="1"/>
      <protection locked="0"/>
    </xf>
    <xf numFmtId="0" fontId="0" fillId="0" borderId="19" xfId="0" applyFont="1" applyFill="1" applyBorder="1" applyAlignment="1" applyProtection="1">
      <alignment shrinkToFit="1"/>
      <protection locked="0"/>
    </xf>
    <xf numFmtId="0" fontId="0" fillId="0" borderId="14" xfId="0" applyFont="1" applyFill="1" applyBorder="1" applyAlignment="1" applyProtection="1">
      <alignment shrinkToFit="1"/>
      <protection locked="0"/>
    </xf>
    <xf numFmtId="0" fontId="23" fillId="5" borderId="18" xfId="0" applyFont="1" applyFill="1" applyBorder="1" applyAlignment="1" applyProtection="1">
      <alignment horizontal="center" vertical="center" wrapText="1"/>
    </xf>
    <xf numFmtId="0" fontId="23" fillId="5" borderId="19" xfId="0" applyFont="1" applyFill="1" applyBorder="1" applyAlignment="1" applyProtection="1">
      <alignment horizontal="center" vertical="center" wrapText="1"/>
    </xf>
    <xf numFmtId="44" fontId="27" fillId="9" borderId="19" xfId="0" applyNumberFormat="1" applyFont="1" applyFill="1" applyBorder="1" applyAlignment="1" applyProtection="1">
      <alignment horizontal="left" vertical="center"/>
    </xf>
    <xf numFmtId="0" fontId="27" fillId="9" borderId="18" xfId="0" applyFont="1" applyFill="1" applyBorder="1" applyAlignment="1" applyProtection="1">
      <alignment horizontal="left" vertical="center"/>
    </xf>
    <xf numFmtId="0" fontId="25" fillId="4" borderId="18" xfId="0" applyFont="1" applyFill="1" applyBorder="1" applyAlignment="1" applyProtection="1">
      <alignment horizontal="center" vertical="center" wrapText="1"/>
    </xf>
    <xf numFmtId="0" fontId="25" fillId="4" borderId="19" xfId="0" applyFont="1" applyFill="1" applyBorder="1" applyAlignment="1" applyProtection="1">
      <alignment horizontal="center" vertical="center" wrapText="1"/>
    </xf>
    <xf numFmtId="0" fontId="47" fillId="18" borderId="18" xfId="0" applyFont="1" applyFill="1" applyBorder="1" applyAlignment="1" applyProtection="1">
      <alignment shrinkToFit="1"/>
      <protection locked="0"/>
    </xf>
    <xf numFmtId="0" fontId="47" fillId="18" borderId="14" xfId="0" applyFont="1" applyFill="1" applyBorder="1" applyAlignment="1" applyProtection="1">
      <alignment shrinkToFit="1"/>
      <protection locked="0"/>
    </xf>
    <xf numFmtId="0" fontId="47" fillId="18" borderId="19" xfId="0" applyFont="1" applyFill="1" applyBorder="1" applyAlignment="1" applyProtection="1">
      <alignment shrinkToFit="1"/>
      <protection locked="0"/>
    </xf>
    <xf numFmtId="0" fontId="27" fillId="9" borderId="18" xfId="0" applyFont="1" applyFill="1" applyBorder="1" applyAlignment="1" applyProtection="1">
      <alignment vertical="center"/>
    </xf>
    <xf numFmtId="0" fontId="27" fillId="9" borderId="14" xfId="0" applyFont="1" applyFill="1" applyBorder="1" applyAlignment="1" applyProtection="1">
      <alignment vertical="center"/>
    </xf>
    <xf numFmtId="0" fontId="27" fillId="9" borderId="19" xfId="0" applyFont="1" applyFill="1" applyBorder="1" applyAlignment="1" applyProtection="1">
      <alignment vertical="center"/>
    </xf>
    <xf numFmtId="0" fontId="6" fillId="0" borderId="18" xfId="0" applyFont="1" applyFill="1" applyBorder="1" applyAlignment="1" applyProtection="1">
      <alignment horizontal="left" shrinkToFit="1"/>
      <protection locked="0"/>
    </xf>
    <xf numFmtId="0" fontId="6" fillId="0" borderId="19" xfId="0" applyFont="1" applyFill="1" applyBorder="1" applyAlignment="1" applyProtection="1">
      <alignment horizontal="left" shrinkToFit="1"/>
      <protection locked="0"/>
    </xf>
    <xf numFmtId="0" fontId="6" fillId="0" borderId="14" xfId="0" applyFont="1" applyFill="1" applyBorder="1" applyAlignment="1" applyProtection="1">
      <alignment horizontal="left" shrinkToFit="1"/>
      <protection locked="0"/>
    </xf>
    <xf numFmtId="0" fontId="0" fillId="2" borderId="14" xfId="0" applyFont="1" applyFill="1" applyBorder="1" applyAlignment="1" applyProtection="1">
      <alignment shrinkToFit="1"/>
      <protection locked="0"/>
    </xf>
    <xf numFmtId="0" fontId="47" fillId="8" borderId="18" xfId="0" applyFont="1" applyFill="1" applyBorder="1" applyAlignment="1" applyProtection="1">
      <alignment shrinkToFit="1"/>
      <protection locked="0"/>
    </xf>
    <xf numFmtId="0" fontId="47" fillId="8" borderId="14" xfId="0" applyFont="1" applyFill="1" applyBorder="1" applyAlignment="1" applyProtection="1">
      <alignment shrinkToFit="1"/>
      <protection locked="0"/>
    </xf>
    <xf numFmtId="0" fontId="47" fillId="8" borderId="19" xfId="0" applyFont="1" applyFill="1" applyBorder="1" applyAlignment="1" applyProtection="1">
      <alignment shrinkToFit="1"/>
      <protection locked="0"/>
    </xf>
    <xf numFmtId="0" fontId="6" fillId="2" borderId="18" xfId="0" applyFont="1" applyFill="1" applyBorder="1" applyAlignment="1" applyProtection="1">
      <alignment horizontal="left" shrinkToFit="1"/>
      <protection locked="0"/>
    </xf>
    <xf numFmtId="0" fontId="6" fillId="2" borderId="14" xfId="0" applyFont="1" applyFill="1" applyBorder="1" applyAlignment="1" applyProtection="1">
      <alignment horizontal="left" shrinkToFit="1"/>
      <protection locked="0"/>
    </xf>
    <xf numFmtId="0" fontId="6" fillId="2" borderId="19" xfId="0" applyFont="1" applyFill="1" applyBorder="1" applyAlignment="1" applyProtection="1">
      <alignment horizontal="left" shrinkToFit="1"/>
      <protection locked="0"/>
    </xf>
    <xf numFmtId="0" fontId="6" fillId="19" borderId="18" xfId="0" applyFont="1" applyFill="1" applyBorder="1" applyAlignment="1" applyProtection="1">
      <alignment horizontal="left" shrinkToFit="1"/>
      <protection locked="0"/>
    </xf>
    <xf numFmtId="0" fontId="6" fillId="19" borderId="14" xfId="0" applyFont="1" applyFill="1" applyBorder="1" applyAlignment="1" applyProtection="1">
      <alignment horizontal="left" shrinkToFit="1"/>
      <protection locked="0"/>
    </xf>
    <xf numFmtId="0" fontId="6" fillId="19" borderId="19" xfId="0" applyFont="1" applyFill="1" applyBorder="1" applyAlignment="1" applyProtection="1">
      <alignment horizontal="left" shrinkToFit="1"/>
      <protection locked="0"/>
    </xf>
    <xf numFmtId="0" fontId="10" fillId="16" borderId="71" xfId="0" applyFont="1" applyFill="1" applyBorder="1" applyAlignment="1" applyProtection="1">
      <alignment horizontal="center" vertical="center" wrapText="1" shrinkToFit="1"/>
    </xf>
    <xf numFmtId="0" fontId="10" fillId="16" borderId="21" xfId="0" applyFont="1" applyFill="1" applyBorder="1" applyAlignment="1" applyProtection="1">
      <alignment horizontal="center" vertical="center" wrapText="1" shrinkToFit="1"/>
    </xf>
    <xf numFmtId="0" fontId="10" fillId="16" borderId="68" xfId="0" applyFont="1" applyFill="1" applyBorder="1" applyAlignment="1" applyProtection="1">
      <alignment horizontal="center" vertical="center" wrapText="1" shrinkToFit="1"/>
    </xf>
    <xf numFmtId="0" fontId="10" fillId="16" borderId="72" xfId="0" applyFont="1" applyFill="1" applyBorder="1" applyAlignment="1" applyProtection="1">
      <alignment horizontal="center" vertical="center" wrapText="1" shrinkToFit="1"/>
    </xf>
    <xf numFmtId="0" fontId="10" fillId="16" borderId="69" xfId="0" applyFont="1" applyFill="1" applyBorder="1" applyAlignment="1" applyProtection="1">
      <alignment horizontal="center" vertical="center" wrapText="1" shrinkToFit="1"/>
    </xf>
    <xf numFmtId="0" fontId="6" fillId="9" borderId="71" xfId="0" applyFont="1" applyFill="1" applyBorder="1" applyAlignment="1" applyProtection="1">
      <alignment horizontal="center" vertical="center" wrapText="1" shrinkToFit="1"/>
    </xf>
    <xf numFmtId="0" fontId="6" fillId="9" borderId="68" xfId="0" applyFont="1" applyFill="1" applyBorder="1" applyAlignment="1" applyProtection="1">
      <alignment horizontal="center" vertical="center" wrapText="1" shrinkToFit="1"/>
    </xf>
    <xf numFmtId="0" fontId="6" fillId="9" borderId="72" xfId="0" applyFont="1" applyFill="1" applyBorder="1" applyAlignment="1" applyProtection="1">
      <alignment horizontal="center" vertical="center" wrapText="1" shrinkToFit="1"/>
    </xf>
    <xf numFmtId="0" fontId="6" fillId="9" borderId="69" xfId="0" applyFont="1" applyFill="1" applyBorder="1" applyAlignment="1" applyProtection="1">
      <alignment horizontal="center" vertical="center" wrapText="1" shrinkToFit="1"/>
    </xf>
    <xf numFmtId="0" fontId="6" fillId="9" borderId="73" xfId="0" applyFont="1" applyFill="1" applyBorder="1" applyAlignment="1" applyProtection="1">
      <alignment horizontal="center" vertical="center" wrapText="1" shrinkToFit="1"/>
    </xf>
    <xf numFmtId="0" fontId="6" fillId="9" borderId="48" xfId="0" applyFont="1" applyFill="1" applyBorder="1" applyAlignment="1" applyProtection="1">
      <alignment horizontal="center" vertical="center" wrapText="1" shrinkToFit="1"/>
    </xf>
    <xf numFmtId="0" fontId="57" fillId="18" borderId="18" xfId="0" applyFont="1" applyFill="1" applyBorder="1" applyAlignment="1" applyProtection="1">
      <alignment horizontal="left" shrinkToFit="1"/>
      <protection locked="0"/>
    </xf>
    <xf numFmtId="0" fontId="57" fillId="18" borderId="14" xfId="0" applyFont="1" applyFill="1" applyBorder="1" applyAlignment="1" applyProtection="1">
      <alignment horizontal="left" shrinkToFit="1"/>
      <protection locked="0"/>
    </xf>
    <xf numFmtId="0" fontId="57" fillId="18" borderId="19" xfId="0" applyFont="1" applyFill="1" applyBorder="1" applyAlignment="1" applyProtection="1">
      <alignment horizontal="left" shrinkToFit="1"/>
      <protection locked="0"/>
    </xf>
    <xf numFmtId="0" fontId="0" fillId="8" borderId="18" xfId="0" applyFont="1" applyFill="1" applyBorder="1" applyAlignment="1" applyProtection="1">
      <alignment shrinkToFit="1"/>
      <protection locked="0"/>
    </xf>
    <xf numFmtId="0" fontId="0" fillId="8" borderId="19" xfId="0" applyFont="1" applyFill="1" applyBorder="1" applyAlignment="1" applyProtection="1">
      <alignment shrinkToFit="1"/>
      <protection locked="0"/>
    </xf>
    <xf numFmtId="0" fontId="0" fillId="8" borderId="18" xfId="0" applyFont="1" applyFill="1" applyBorder="1" applyAlignment="1" applyProtection="1">
      <alignment horizontal="left" shrinkToFit="1"/>
      <protection locked="0"/>
    </xf>
    <xf numFmtId="0" fontId="0" fillId="8" borderId="14" xfId="0" applyFont="1" applyFill="1" applyBorder="1" applyAlignment="1" applyProtection="1">
      <alignment horizontal="left" shrinkToFit="1"/>
      <protection locked="0"/>
    </xf>
    <xf numFmtId="0" fontId="0" fillId="8" borderId="19" xfId="0" applyFont="1" applyFill="1" applyBorder="1" applyAlignment="1" applyProtection="1">
      <alignment horizontal="left" shrinkToFit="1"/>
      <protection locked="0"/>
    </xf>
    <xf numFmtId="0" fontId="6" fillId="0" borderId="18" xfId="0" applyFont="1" applyFill="1" applyBorder="1" applyAlignment="1" applyProtection="1">
      <alignment wrapText="1" shrinkToFit="1"/>
      <protection locked="0"/>
    </xf>
    <xf numFmtId="0" fontId="19" fillId="16" borderId="31" xfId="5" applyFont="1" applyFill="1" applyBorder="1" applyAlignment="1" applyProtection="1">
      <alignment horizontal="center" vertical="center"/>
    </xf>
    <xf numFmtId="0" fontId="19" fillId="16" borderId="32" xfId="5" applyFont="1" applyFill="1" applyBorder="1" applyAlignment="1" applyProtection="1">
      <alignment horizontal="center" vertical="center"/>
    </xf>
    <xf numFmtId="0" fontId="19" fillId="16" borderId="1" xfId="5" applyFont="1" applyFill="1" applyBorder="1" applyAlignment="1" applyProtection="1">
      <alignment horizontal="center" vertical="center"/>
    </xf>
    <xf numFmtId="0" fontId="19" fillId="16" borderId="0" xfId="5" applyFont="1" applyFill="1" applyBorder="1" applyAlignment="1" applyProtection="1">
      <alignment horizontal="center" vertical="center"/>
    </xf>
    <xf numFmtId="0" fontId="19" fillId="16" borderId="90" xfId="5" applyFont="1" applyFill="1" applyBorder="1" applyAlignment="1" applyProtection="1">
      <alignment horizontal="center" vertical="center"/>
    </xf>
    <xf numFmtId="0" fontId="19" fillId="11" borderId="79" xfId="5" applyFont="1" applyFill="1" applyBorder="1" applyAlignment="1" applyProtection="1">
      <alignment horizontal="center" vertical="center" wrapText="1"/>
    </xf>
    <xf numFmtId="0" fontId="19" fillId="9" borderId="12" xfId="5" applyFont="1" applyFill="1" applyBorder="1" applyAlignment="1" applyProtection="1">
      <alignment horizontal="center" vertical="center" wrapText="1"/>
    </xf>
    <xf numFmtId="0" fontId="6" fillId="4" borderId="61" xfId="0" applyNumberFormat="1" applyFont="1" applyFill="1" applyBorder="1" applyAlignment="1" applyProtection="1">
      <alignment horizontal="center" vertical="center" shrinkToFit="1"/>
      <protection locked="0"/>
    </xf>
    <xf numFmtId="0" fontId="6" fillId="4" borderId="62" xfId="0" applyNumberFormat="1" applyFont="1" applyFill="1" applyBorder="1" applyAlignment="1" applyProtection="1">
      <alignment horizontal="center" vertical="center" shrinkToFit="1"/>
      <protection locked="0"/>
    </xf>
    <xf numFmtId="0" fontId="6" fillId="4" borderId="63" xfId="0" applyNumberFormat="1" applyFont="1" applyFill="1" applyBorder="1" applyAlignment="1" applyProtection="1">
      <alignment horizontal="center" vertical="center" shrinkToFit="1"/>
      <protection locked="0"/>
    </xf>
    <xf numFmtId="0" fontId="28" fillId="2" borderId="0" xfId="0" applyFont="1" applyFill="1" applyBorder="1" applyAlignment="1">
      <alignment horizontal="left" wrapText="1"/>
    </xf>
    <xf numFmtId="0" fontId="28" fillId="2" borderId="0" xfId="0" applyFont="1" applyFill="1" applyBorder="1" applyAlignment="1">
      <alignment horizontal="left" vertical="top" wrapText="1"/>
    </xf>
    <xf numFmtId="0" fontId="6" fillId="2" borderId="0" xfId="0" applyFont="1" applyFill="1" applyBorder="1" applyAlignment="1">
      <alignment wrapText="1"/>
    </xf>
    <xf numFmtId="0" fontId="6" fillId="2" borderId="4" xfId="0" applyFont="1" applyFill="1" applyBorder="1" applyAlignment="1">
      <alignment wrapText="1"/>
    </xf>
    <xf numFmtId="0" fontId="6" fillId="8" borderId="26" xfId="0" applyFont="1" applyFill="1" applyBorder="1" applyAlignment="1" applyProtection="1">
      <alignment horizontal="left" vertical="center" wrapText="1"/>
    </xf>
    <xf numFmtId="0" fontId="6" fillId="8" borderId="23" xfId="0" applyFont="1" applyFill="1" applyBorder="1" applyAlignment="1" applyProtection="1">
      <alignment horizontal="left" vertical="center" wrapText="1"/>
    </xf>
    <xf numFmtId="0" fontId="6" fillId="8" borderId="27" xfId="0" applyFont="1" applyFill="1" applyBorder="1" applyAlignment="1" applyProtection="1">
      <alignment horizontal="left" vertical="center" wrapText="1"/>
    </xf>
    <xf numFmtId="0" fontId="6" fillId="0" borderId="18" xfId="0" applyFont="1" applyFill="1" applyBorder="1" applyAlignment="1" applyProtection="1">
      <alignment horizontal="left"/>
    </xf>
    <xf numFmtId="0" fontId="6" fillId="0" borderId="14" xfId="0" applyFont="1" applyFill="1" applyBorder="1" applyAlignment="1" applyProtection="1">
      <alignment horizontal="left"/>
    </xf>
    <xf numFmtId="0" fontId="6" fillId="0" borderId="19" xfId="0" applyFont="1" applyFill="1" applyBorder="1" applyAlignment="1" applyProtection="1">
      <alignment horizontal="left"/>
    </xf>
    <xf numFmtId="0" fontId="0" fillId="0" borderId="19" xfId="0" applyBorder="1" applyProtection="1">
      <protection locked="0"/>
    </xf>
    <xf numFmtId="0" fontId="0" fillId="0" borderId="68" xfId="0" applyBorder="1" applyProtection="1"/>
    <xf numFmtId="0" fontId="0" fillId="0" borderId="0" xfId="0" applyProtection="1"/>
    <xf numFmtId="0" fontId="0" fillId="0" borderId="69" xfId="0" applyBorder="1" applyProtection="1"/>
    <xf numFmtId="0" fontId="0" fillId="0" borderId="48" xfId="0" applyBorder="1" applyProtection="1"/>
    <xf numFmtId="0" fontId="47" fillId="18" borderId="18" xfId="0" applyFont="1" applyFill="1" applyBorder="1" applyAlignment="1" applyProtection="1">
      <alignment horizontal="left" shrinkToFit="1"/>
      <protection locked="0"/>
    </xf>
    <xf numFmtId="0" fontId="47" fillId="18" borderId="19" xfId="0" applyFont="1" applyFill="1" applyBorder="1" applyAlignment="1" applyProtection="1">
      <alignment horizontal="left" shrinkToFit="1"/>
      <protection locked="0"/>
    </xf>
    <xf numFmtId="0" fontId="47" fillId="18" borderId="14" xfId="0" applyFont="1" applyFill="1" applyBorder="1" applyAlignment="1" applyProtection="1">
      <alignment horizontal="left" shrinkToFit="1"/>
      <protection locked="0"/>
    </xf>
    <xf numFmtId="0" fontId="10" fillId="14" borderId="71" xfId="0" applyFont="1" applyFill="1" applyBorder="1" applyAlignment="1" applyProtection="1">
      <alignment horizontal="center" vertical="center" wrapText="1" shrinkToFit="1"/>
    </xf>
    <xf numFmtId="0" fontId="10" fillId="14" borderId="21" xfId="0" applyFont="1" applyFill="1" applyBorder="1" applyAlignment="1" applyProtection="1">
      <alignment horizontal="center" vertical="center" wrapText="1" shrinkToFit="1"/>
    </xf>
    <xf numFmtId="0" fontId="10" fillId="14" borderId="68" xfId="0" applyFont="1" applyFill="1" applyBorder="1" applyAlignment="1" applyProtection="1">
      <alignment horizontal="center" vertical="center" wrapText="1" shrinkToFit="1"/>
    </xf>
    <xf numFmtId="0" fontId="10" fillId="14" borderId="72" xfId="0" applyFont="1" applyFill="1" applyBorder="1" applyAlignment="1" applyProtection="1">
      <alignment horizontal="center" vertical="center" wrapText="1" shrinkToFit="1"/>
    </xf>
    <xf numFmtId="0" fontId="10" fillId="14" borderId="69" xfId="0" applyFont="1" applyFill="1" applyBorder="1" applyAlignment="1" applyProtection="1">
      <alignment horizontal="center" vertical="center" wrapText="1" shrinkToFit="1"/>
    </xf>
    <xf numFmtId="0" fontId="19" fillId="14" borderId="31" xfId="5" applyFont="1" applyFill="1" applyBorder="1" applyAlignment="1" applyProtection="1">
      <alignment horizontal="center" vertical="center"/>
    </xf>
    <xf numFmtId="0" fontId="19" fillId="14" borderId="32" xfId="5" applyFont="1" applyFill="1" applyBorder="1" applyAlignment="1" applyProtection="1">
      <alignment horizontal="center" vertical="center"/>
    </xf>
    <xf numFmtId="0" fontId="19" fillId="14" borderId="1" xfId="5" applyFont="1" applyFill="1" applyBorder="1" applyAlignment="1" applyProtection="1">
      <alignment horizontal="center" vertical="center"/>
    </xf>
    <xf numFmtId="0" fontId="19" fillId="14" borderId="0" xfId="5" applyFont="1" applyFill="1" applyBorder="1" applyAlignment="1" applyProtection="1">
      <alignment horizontal="center" vertical="center"/>
    </xf>
    <xf numFmtId="0" fontId="19" fillId="14" borderId="90" xfId="5" applyFont="1" applyFill="1" applyBorder="1" applyAlignment="1" applyProtection="1">
      <alignment horizontal="center" vertical="center"/>
    </xf>
    <xf numFmtId="0" fontId="6" fillId="2" borderId="0" xfId="0" applyFont="1" applyFill="1" applyBorder="1"/>
    <xf numFmtId="0" fontId="44" fillId="15" borderId="31" xfId="0" applyFont="1" applyFill="1" applyBorder="1" applyAlignment="1" applyProtection="1">
      <alignment horizontal="center" vertical="center" wrapText="1" shrinkToFit="1"/>
    </xf>
    <xf numFmtId="0" fontId="44" fillId="15" borderId="32" xfId="0" applyFont="1" applyFill="1" applyBorder="1" applyAlignment="1" applyProtection="1">
      <alignment horizontal="center" vertical="center" wrapText="1" shrinkToFit="1"/>
    </xf>
    <xf numFmtId="0" fontId="44" fillId="15" borderId="28" xfId="0" applyFont="1" applyFill="1" applyBorder="1" applyAlignment="1" applyProtection="1">
      <alignment horizontal="center" vertical="center" wrapText="1" shrinkToFit="1"/>
    </xf>
    <xf numFmtId="0" fontId="44" fillId="15" borderId="1" xfId="0" applyFont="1" applyFill="1" applyBorder="1" applyAlignment="1" applyProtection="1">
      <alignment horizontal="center" vertical="center" wrapText="1" shrinkToFit="1"/>
    </xf>
    <xf numFmtId="0" fontId="44" fillId="15" borderId="0" xfId="0" applyFont="1" applyFill="1" applyBorder="1" applyAlignment="1" applyProtection="1">
      <alignment horizontal="center" vertical="center" wrapText="1" shrinkToFit="1"/>
    </xf>
    <xf numFmtId="0" fontId="44" fillId="15" borderId="2" xfId="0" applyFont="1" applyFill="1" applyBorder="1" applyAlignment="1" applyProtection="1">
      <alignment horizontal="center" vertical="center" wrapText="1" shrinkToFit="1"/>
    </xf>
    <xf numFmtId="0" fontId="6" fillId="2" borderId="18" xfId="5" applyFont="1" applyFill="1" applyBorder="1" applyAlignment="1" applyProtection="1">
      <alignment shrinkToFit="1"/>
      <protection locked="0"/>
    </xf>
    <xf numFmtId="0" fontId="6" fillId="2" borderId="14" xfId="5" applyFont="1" applyFill="1" applyBorder="1" applyAlignment="1" applyProtection="1">
      <alignment shrinkToFit="1"/>
      <protection locked="0"/>
    </xf>
    <xf numFmtId="0" fontId="6" fillId="2" borderId="19" xfId="5" applyFont="1" applyFill="1" applyBorder="1" applyAlignment="1" applyProtection="1">
      <alignment shrinkToFit="1"/>
      <protection locked="0"/>
    </xf>
    <xf numFmtId="0" fontId="27" fillId="9" borderId="18" xfId="5" applyFont="1" applyFill="1" applyBorder="1" applyAlignment="1" applyProtection="1">
      <alignment horizontal="left" vertical="center"/>
    </xf>
    <xf numFmtId="0" fontId="27" fillId="9" borderId="14" xfId="5" applyFont="1" applyFill="1" applyBorder="1" applyAlignment="1" applyProtection="1">
      <alignment horizontal="left" vertical="center"/>
    </xf>
    <xf numFmtId="0" fontId="27" fillId="9" borderId="19" xfId="5" applyFont="1" applyFill="1" applyBorder="1" applyAlignment="1" applyProtection="1">
      <alignment horizontal="left" vertical="center"/>
    </xf>
    <xf numFmtId="44" fontId="27" fillId="9" borderId="18" xfId="5" applyNumberFormat="1" applyFont="1" applyFill="1" applyBorder="1" applyAlignment="1" applyProtection="1">
      <alignment horizontal="left" vertical="center"/>
    </xf>
    <xf numFmtId="44" fontId="27" fillId="9" borderId="14" xfId="5" applyNumberFormat="1" applyFont="1" applyFill="1" applyBorder="1" applyAlignment="1" applyProtection="1">
      <alignment horizontal="left" vertical="center"/>
    </xf>
    <xf numFmtId="44" fontId="27" fillId="9" borderId="19" xfId="5" applyNumberFormat="1" applyFont="1" applyFill="1" applyBorder="1" applyAlignment="1" applyProtection="1">
      <alignment horizontal="left" vertical="center"/>
    </xf>
    <xf numFmtId="0" fontId="6" fillId="27" borderId="18" xfId="5" applyFont="1" applyFill="1" applyBorder="1" applyAlignment="1" applyProtection="1">
      <alignment horizontal="left" shrinkToFit="1"/>
      <protection locked="0"/>
    </xf>
    <xf numFmtId="0" fontId="6" fillId="27" borderId="14" xfId="5" applyFont="1" applyFill="1" applyBorder="1" applyAlignment="1" applyProtection="1">
      <alignment horizontal="left" shrinkToFit="1"/>
      <protection locked="0"/>
    </xf>
    <xf numFmtId="0" fontId="6" fillId="27" borderId="19" xfId="5" applyFont="1" applyFill="1" applyBorder="1" applyAlignment="1" applyProtection="1">
      <alignment horizontal="left" shrinkToFit="1"/>
      <protection locked="0"/>
    </xf>
    <xf numFmtId="0" fontId="25" fillId="4" borderId="18" xfId="5" applyFont="1" applyFill="1" applyBorder="1" applyAlignment="1" applyProtection="1">
      <alignment horizontal="center" vertical="center" wrapText="1"/>
    </xf>
    <xf numFmtId="0" fontId="25" fillId="4" borderId="14" xfId="5" applyFont="1" applyFill="1" applyBorder="1" applyAlignment="1" applyProtection="1">
      <alignment horizontal="center" vertical="center" wrapText="1"/>
    </xf>
    <xf numFmtId="0" fontId="25" fillId="4" borderId="19" xfId="5" applyFont="1" applyFill="1" applyBorder="1" applyAlignment="1" applyProtection="1">
      <alignment horizontal="center" vertical="center" wrapText="1"/>
    </xf>
    <xf numFmtId="0" fontId="19" fillId="4" borderId="71" xfId="5" applyFont="1" applyFill="1" applyBorder="1" applyAlignment="1" applyProtection="1">
      <alignment horizontal="center" vertical="center" wrapText="1"/>
    </xf>
    <xf numFmtId="0" fontId="19" fillId="4" borderId="21" xfId="5" applyFont="1" applyFill="1" applyBorder="1" applyAlignment="1" applyProtection="1">
      <alignment horizontal="center" vertical="center" wrapText="1"/>
    </xf>
    <xf numFmtId="0" fontId="19" fillId="4" borderId="68" xfId="5" applyFont="1" applyFill="1" applyBorder="1" applyAlignment="1" applyProtection="1">
      <alignment horizontal="center" vertical="center" wrapText="1"/>
    </xf>
    <xf numFmtId="0" fontId="19" fillId="4" borderId="72" xfId="5" applyFont="1" applyFill="1" applyBorder="1" applyAlignment="1" applyProtection="1">
      <alignment horizontal="center" vertical="center" wrapText="1"/>
    </xf>
    <xf numFmtId="0" fontId="19" fillId="4" borderId="0" xfId="5" applyFont="1" applyFill="1" applyBorder="1" applyAlignment="1" applyProtection="1">
      <alignment horizontal="center" vertical="center" wrapText="1"/>
    </xf>
    <xf numFmtId="0" fontId="19" fillId="4" borderId="69" xfId="5" applyFont="1" applyFill="1" applyBorder="1" applyAlignment="1" applyProtection="1">
      <alignment horizontal="center" vertical="center" wrapText="1"/>
    </xf>
    <xf numFmtId="0" fontId="19" fillId="4" borderId="73" xfId="5" applyFont="1" applyFill="1" applyBorder="1" applyAlignment="1" applyProtection="1">
      <alignment horizontal="center" vertical="center" wrapText="1"/>
    </xf>
    <xf numFmtId="0" fontId="19" fillId="4" borderId="23" xfId="5" applyFont="1" applyFill="1" applyBorder="1" applyAlignment="1" applyProtection="1">
      <alignment horizontal="center" vertical="center" wrapText="1"/>
    </xf>
    <xf numFmtId="0" fontId="19" fillId="4" borderId="48" xfId="5" applyFont="1" applyFill="1" applyBorder="1" applyAlignment="1" applyProtection="1">
      <alignment horizontal="center" vertical="center" wrapText="1"/>
    </xf>
    <xf numFmtId="0" fontId="19" fillId="4" borderId="50" xfId="5" applyFont="1" applyFill="1" applyBorder="1" applyAlignment="1" applyProtection="1">
      <alignment horizontal="center" vertical="center" wrapText="1"/>
    </xf>
    <xf numFmtId="0" fontId="19" fillId="4" borderId="70" xfId="5" applyFont="1" applyFill="1" applyBorder="1" applyAlignment="1" applyProtection="1">
      <alignment horizontal="center" vertical="center" wrapText="1"/>
    </xf>
    <xf numFmtId="0" fontId="19" fillId="4" borderId="36" xfId="5" applyFont="1" applyFill="1" applyBorder="1" applyAlignment="1" applyProtection="1">
      <alignment horizontal="center" vertical="center" wrapText="1"/>
    </xf>
    <xf numFmtId="0" fontId="19" fillId="4" borderId="6" xfId="5" applyFont="1" applyFill="1" applyBorder="1" applyAlignment="1" applyProtection="1">
      <alignment horizontal="center" vertical="center" wrapText="1"/>
    </xf>
    <xf numFmtId="0" fontId="23" fillId="5" borderId="18" xfId="5" applyFont="1" applyFill="1" applyBorder="1" applyAlignment="1" applyProtection="1">
      <alignment horizontal="center" vertical="center" wrapText="1"/>
    </xf>
    <xf numFmtId="0" fontId="23" fillId="5" borderId="14" xfId="5" applyFont="1" applyFill="1" applyBorder="1" applyAlignment="1" applyProtection="1">
      <alignment horizontal="center" vertical="center" wrapText="1"/>
    </xf>
    <xf numFmtId="0" fontId="23" fillId="5" borderId="19" xfId="5" applyFont="1" applyFill="1" applyBorder="1" applyAlignment="1" applyProtection="1">
      <alignment horizontal="center" vertical="center" wrapText="1"/>
    </xf>
    <xf numFmtId="0" fontId="6" fillId="26" borderId="18" xfId="5" applyFont="1" applyFill="1" applyBorder="1" applyAlignment="1" applyProtection="1">
      <alignment shrinkToFit="1"/>
      <protection locked="0"/>
    </xf>
    <xf numFmtId="0" fontId="6" fillId="26" borderId="14" xfId="5" applyFont="1" applyFill="1" applyBorder="1" applyAlignment="1" applyProtection="1">
      <alignment shrinkToFit="1"/>
      <protection locked="0"/>
    </xf>
    <xf numFmtId="0" fontId="6" fillId="26" borderId="19" xfId="5" applyFont="1" applyFill="1" applyBorder="1" applyAlignment="1" applyProtection="1">
      <alignment shrinkToFit="1"/>
      <protection locked="0"/>
    </xf>
    <xf numFmtId="0" fontId="6" fillId="0" borderId="18" xfId="5" applyFont="1" applyFill="1" applyBorder="1" applyAlignment="1" applyProtection="1">
      <alignment shrinkToFit="1"/>
      <protection locked="0"/>
    </xf>
    <xf numFmtId="0" fontId="6" fillId="0" borderId="14" xfId="5" applyFont="1" applyFill="1" applyBorder="1" applyAlignment="1" applyProtection="1">
      <alignment shrinkToFit="1"/>
      <protection locked="0"/>
    </xf>
    <xf numFmtId="0" fontId="6" fillId="0" borderId="19" xfId="5" applyFont="1" applyFill="1" applyBorder="1" applyAlignment="1" applyProtection="1">
      <alignment shrinkToFit="1"/>
      <protection locked="0"/>
    </xf>
    <xf numFmtId="0" fontId="6" fillId="18" borderId="18" xfId="5" applyFont="1" applyFill="1" applyBorder="1" applyAlignment="1" applyProtection="1">
      <alignment shrinkToFit="1"/>
      <protection locked="0"/>
    </xf>
    <xf numFmtId="0" fontId="6" fillId="18" borderId="14" xfId="5" applyFont="1" applyFill="1" applyBorder="1" applyAlignment="1" applyProtection="1">
      <alignment shrinkToFit="1"/>
      <protection locked="0"/>
    </xf>
    <xf numFmtId="0" fontId="6" fillId="18" borderId="19" xfId="5" applyFont="1" applyFill="1" applyBorder="1" applyAlignment="1" applyProtection="1">
      <alignment shrinkToFit="1"/>
      <protection locked="0"/>
    </xf>
    <xf numFmtId="0" fontId="6" fillId="0" borderId="14" xfId="5" applyBorder="1" applyProtection="1">
      <protection locked="0"/>
    </xf>
    <xf numFmtId="0" fontId="6" fillId="0" borderId="19" xfId="5" applyBorder="1" applyProtection="1">
      <protection locked="0"/>
    </xf>
    <xf numFmtId="0" fontId="6" fillId="0" borderId="21" xfId="5" applyBorder="1" applyProtection="1"/>
    <xf numFmtId="0" fontId="6" fillId="0" borderId="68" xfId="5" applyBorder="1" applyProtection="1"/>
    <xf numFmtId="0" fontId="6" fillId="0" borderId="72" xfId="5" applyBorder="1" applyProtection="1"/>
    <xf numFmtId="0" fontId="6" fillId="0" borderId="0" xfId="5" applyProtection="1"/>
    <xf numFmtId="0" fontId="6" fillId="0" borderId="69" xfId="5" applyBorder="1" applyProtection="1"/>
    <xf numFmtId="0" fontId="6" fillId="0" borderId="73" xfId="5" applyBorder="1" applyProtection="1"/>
    <xf numFmtId="0" fontId="6" fillId="0" borderId="23" xfId="5" applyBorder="1" applyProtection="1"/>
    <xf numFmtId="0" fontId="6" fillId="0" borderId="48" xfId="5" applyBorder="1" applyProtection="1"/>
    <xf numFmtId="0" fontId="6" fillId="8" borderId="18" xfId="5" applyFont="1" applyFill="1" applyBorder="1" applyAlignment="1" applyProtection="1">
      <alignment shrinkToFit="1"/>
      <protection locked="0"/>
    </xf>
    <xf numFmtId="0" fontId="6" fillId="8" borderId="14" xfId="5" applyFont="1" applyFill="1" applyBorder="1" applyAlignment="1" applyProtection="1">
      <alignment shrinkToFit="1"/>
      <protection locked="0"/>
    </xf>
    <xf numFmtId="0" fontId="6" fillId="8" borderId="19" xfId="5" applyFont="1" applyFill="1" applyBorder="1" applyAlignment="1" applyProtection="1">
      <alignment shrinkToFit="1"/>
      <protection locked="0"/>
    </xf>
    <xf numFmtId="0" fontId="51" fillId="0" borderId="18" xfId="5" applyFont="1" applyFill="1" applyBorder="1" applyAlignment="1" applyProtection="1">
      <alignment shrinkToFit="1"/>
      <protection locked="0"/>
    </xf>
    <xf numFmtId="0" fontId="51" fillId="0" borderId="14" xfId="5" applyFont="1" applyFill="1" applyBorder="1" applyAlignment="1" applyProtection="1">
      <alignment shrinkToFit="1"/>
      <protection locked="0"/>
    </xf>
    <xf numFmtId="0" fontId="51" fillId="0" borderId="19" xfId="5" applyFont="1" applyFill="1" applyBorder="1" applyAlignment="1" applyProtection="1">
      <alignment shrinkToFit="1"/>
      <protection locked="0"/>
    </xf>
    <xf numFmtId="0" fontId="27" fillId="9" borderId="6" xfId="5" applyFont="1" applyFill="1" applyBorder="1" applyAlignment="1" applyProtection="1">
      <alignment vertical="center"/>
    </xf>
    <xf numFmtId="0" fontId="27" fillId="9" borderId="6" xfId="5" applyFont="1" applyFill="1" applyBorder="1" applyAlignment="1" applyProtection="1">
      <alignment horizontal="left" vertical="center"/>
    </xf>
    <xf numFmtId="0" fontId="6" fillId="2" borderId="18" xfId="5" applyFont="1" applyFill="1" applyBorder="1" applyAlignment="1" applyProtection="1">
      <alignment horizontal="left" shrinkToFit="1"/>
      <protection locked="0"/>
    </xf>
    <xf numFmtId="0" fontId="6" fillId="2" borderId="19" xfId="5" applyFont="1" applyFill="1" applyBorder="1" applyAlignment="1" applyProtection="1">
      <alignment horizontal="left" shrinkToFit="1"/>
      <protection locked="0"/>
    </xf>
    <xf numFmtId="0" fontId="20" fillId="27" borderId="18" xfId="5" applyFont="1" applyFill="1" applyBorder="1" applyAlignment="1" applyProtection="1">
      <alignment shrinkToFit="1"/>
      <protection locked="0"/>
    </xf>
    <xf numFmtId="0" fontId="0" fillId="0" borderId="14" xfId="0" applyBorder="1" applyAlignment="1">
      <alignment shrinkToFit="1"/>
    </xf>
    <xf numFmtId="0" fontId="0" fillId="0" borderId="19" xfId="0" applyBorder="1" applyAlignment="1">
      <alignment shrinkToFit="1"/>
    </xf>
    <xf numFmtId="0" fontId="8" fillId="15" borderId="71" xfId="5" applyFont="1" applyFill="1" applyBorder="1" applyAlignment="1" applyProtection="1">
      <alignment horizontal="center" vertical="center" wrapText="1" shrinkToFit="1"/>
    </xf>
    <xf numFmtId="0" fontId="8" fillId="15" borderId="21" xfId="5" applyFont="1" applyFill="1" applyBorder="1" applyAlignment="1" applyProtection="1">
      <alignment horizontal="center" vertical="center" wrapText="1" shrinkToFit="1"/>
    </xf>
    <xf numFmtId="0" fontId="8" fillId="15" borderId="68" xfId="5" applyFont="1" applyFill="1" applyBorder="1" applyAlignment="1" applyProtection="1">
      <alignment horizontal="center" vertical="center" wrapText="1" shrinkToFit="1"/>
    </xf>
    <xf numFmtId="0" fontId="8" fillId="15" borderId="72" xfId="5" applyFont="1" applyFill="1" applyBorder="1" applyAlignment="1" applyProtection="1">
      <alignment horizontal="center" vertical="center" wrapText="1" shrinkToFit="1"/>
    </xf>
    <xf numFmtId="0" fontId="8" fillId="15" borderId="0" xfId="5" applyFont="1" applyFill="1" applyBorder="1" applyAlignment="1" applyProtection="1">
      <alignment horizontal="center" vertical="center" wrapText="1" shrinkToFit="1"/>
    </xf>
    <xf numFmtId="0" fontId="8" fillId="15" borderId="69" xfId="5" applyFont="1" applyFill="1" applyBorder="1" applyAlignment="1" applyProtection="1">
      <alignment horizontal="center" vertical="center" wrapText="1" shrinkToFit="1"/>
    </xf>
    <xf numFmtId="0" fontId="6" fillId="9" borderId="71" xfId="5" applyFont="1" applyFill="1" applyBorder="1" applyAlignment="1" applyProtection="1">
      <alignment horizontal="center" vertical="center" wrapText="1" shrinkToFit="1"/>
    </xf>
    <xf numFmtId="0" fontId="6" fillId="9" borderId="68" xfId="5" applyFont="1" applyFill="1" applyBorder="1" applyAlignment="1" applyProtection="1">
      <alignment horizontal="center" vertical="center" wrapText="1" shrinkToFit="1"/>
    </xf>
    <xf numFmtId="0" fontId="6" fillId="9" borderId="73" xfId="5" applyFont="1" applyFill="1" applyBorder="1" applyAlignment="1" applyProtection="1">
      <alignment horizontal="center" vertical="center" wrapText="1" shrinkToFit="1"/>
    </xf>
    <xf numFmtId="0" fontId="6" fillId="9" borderId="48" xfId="5" applyFont="1" applyFill="1" applyBorder="1" applyAlignment="1" applyProtection="1">
      <alignment horizontal="center" vertical="center" wrapText="1" shrinkToFit="1"/>
    </xf>
    <xf numFmtId="0" fontId="25" fillId="9" borderId="6" xfId="5" applyFont="1" applyFill="1" applyBorder="1" applyAlignment="1" applyProtection="1">
      <alignment horizontal="center" vertical="center" wrapText="1"/>
    </xf>
    <xf numFmtId="0" fontId="30" fillId="4" borderId="50" xfId="5" applyFont="1" applyFill="1" applyBorder="1" applyAlignment="1" applyProtection="1">
      <alignment horizontal="center" vertical="center" wrapText="1" shrinkToFit="1"/>
    </xf>
    <xf numFmtId="0" fontId="30" fillId="4" borderId="70" xfId="5" applyFont="1" applyFill="1" applyBorder="1" applyAlignment="1" applyProtection="1">
      <alignment horizontal="center" vertical="center" wrapText="1" shrinkToFit="1"/>
    </xf>
    <xf numFmtId="0" fontId="30" fillId="4" borderId="36" xfId="5" applyFont="1" applyFill="1" applyBorder="1" applyAlignment="1" applyProtection="1">
      <alignment horizontal="center" vertical="center" wrapText="1" shrinkToFit="1"/>
    </xf>
    <xf numFmtId="0" fontId="45" fillId="15" borderId="31" xfId="5" applyFont="1" applyFill="1" applyBorder="1" applyAlignment="1" applyProtection="1">
      <alignment horizontal="center" vertical="center"/>
    </xf>
    <xf numFmtId="0" fontId="45" fillId="15" borderId="32" xfId="5" applyFont="1" applyFill="1" applyBorder="1" applyAlignment="1" applyProtection="1">
      <alignment horizontal="center" vertical="center"/>
    </xf>
    <xf numFmtId="0" fontId="45" fillId="15" borderId="1" xfId="5" applyFont="1" applyFill="1" applyBorder="1" applyAlignment="1" applyProtection="1">
      <alignment horizontal="center" vertical="center"/>
    </xf>
    <xf numFmtId="0" fontId="45" fillId="15" borderId="0" xfId="5" applyFont="1" applyFill="1" applyBorder="1" applyAlignment="1" applyProtection="1">
      <alignment horizontal="center" vertical="center"/>
    </xf>
    <xf numFmtId="0" fontId="45" fillId="15" borderId="90" xfId="5" applyFont="1" applyFill="1" applyBorder="1" applyAlignment="1" applyProtection="1">
      <alignment horizontal="center" vertical="center"/>
    </xf>
    <xf numFmtId="0" fontId="6" fillId="2" borderId="0" xfId="5" applyFont="1" applyFill="1" applyBorder="1" applyAlignment="1" applyProtection="1">
      <alignment horizontal="left" wrapText="1" shrinkToFit="1"/>
    </xf>
    <xf numFmtId="0" fontId="6" fillId="4" borderId="61" xfId="5" applyNumberFormat="1" applyFont="1" applyFill="1" applyBorder="1" applyAlignment="1" applyProtection="1">
      <alignment vertical="center" shrinkToFit="1"/>
      <protection locked="0"/>
    </xf>
    <xf numFmtId="0" fontId="6" fillId="4" borderId="62" xfId="5" applyNumberFormat="1" applyFont="1" applyFill="1" applyBorder="1" applyAlignment="1" applyProtection="1">
      <alignment vertical="center" shrinkToFit="1"/>
      <protection locked="0"/>
    </xf>
    <xf numFmtId="0" fontId="6" fillId="4" borderId="63" xfId="5" applyNumberFormat="1" applyFont="1" applyFill="1" applyBorder="1" applyAlignment="1" applyProtection="1">
      <alignment vertical="center" shrinkToFit="1"/>
      <protection locked="0"/>
    </xf>
    <xf numFmtId="0" fontId="6" fillId="8" borderId="0" xfId="5" applyFont="1" applyFill="1" applyBorder="1" applyAlignment="1" applyProtection="1">
      <alignment wrapText="1" shrinkToFit="1"/>
    </xf>
    <xf numFmtId="0" fontId="10" fillId="17" borderId="31" xfId="5" applyFont="1" applyFill="1" applyBorder="1" applyAlignment="1" applyProtection="1">
      <alignment horizontal="center" vertical="center" wrapText="1" shrinkToFit="1"/>
    </xf>
    <xf numFmtId="0" fontId="10" fillId="17" borderId="32" xfId="5" applyFont="1" applyFill="1" applyBorder="1" applyAlignment="1" applyProtection="1">
      <alignment horizontal="center" vertical="center" wrapText="1" shrinkToFit="1"/>
    </xf>
    <xf numFmtId="0" fontId="10" fillId="17" borderId="28" xfId="5" applyFont="1" applyFill="1" applyBorder="1" applyAlignment="1" applyProtection="1">
      <alignment horizontal="center" vertical="center" wrapText="1" shrinkToFit="1"/>
    </xf>
    <xf numFmtId="0" fontId="10" fillId="17" borderId="1" xfId="5" applyFont="1" applyFill="1" applyBorder="1" applyAlignment="1" applyProtection="1">
      <alignment horizontal="center" vertical="center" wrapText="1" shrinkToFit="1"/>
    </xf>
    <xf numFmtId="0" fontId="10" fillId="17" borderId="0" xfId="5" applyFont="1" applyFill="1" applyBorder="1" applyAlignment="1" applyProtection="1">
      <alignment horizontal="center" vertical="center" wrapText="1" shrinkToFit="1"/>
    </xf>
    <xf numFmtId="0" fontId="10" fillId="17" borderId="2" xfId="5" applyFont="1" applyFill="1" applyBorder="1" applyAlignment="1" applyProtection="1">
      <alignment horizontal="center" vertical="center" wrapText="1" shrinkToFit="1"/>
    </xf>
    <xf numFmtId="0" fontId="7" fillId="2" borderId="0" xfId="5" applyFont="1" applyFill="1" applyBorder="1" applyAlignment="1" applyProtection="1">
      <alignment wrapText="1" shrinkToFit="1"/>
    </xf>
    <xf numFmtId="0" fontId="7" fillId="2" borderId="2" xfId="5" applyFont="1" applyFill="1" applyBorder="1" applyAlignment="1" applyProtection="1">
      <alignment wrapText="1" shrinkToFit="1"/>
    </xf>
    <xf numFmtId="0" fontId="19" fillId="2" borderId="0" xfId="5" applyFont="1" applyFill="1" applyBorder="1" applyAlignment="1" applyProtection="1">
      <alignment horizontal="left" shrinkToFit="1"/>
    </xf>
    <xf numFmtId="0" fontId="19" fillId="8" borderId="6" xfId="5" applyFont="1" applyFill="1" applyBorder="1" applyAlignment="1" applyProtection="1">
      <alignment horizontal="left" vertical="top" wrapText="1"/>
    </xf>
    <xf numFmtId="44" fontId="19" fillId="8" borderId="6" xfId="5" applyNumberFormat="1" applyFont="1" applyFill="1" applyBorder="1" applyAlignment="1" applyProtection="1">
      <alignment horizontal="right" vertical="top" wrapText="1"/>
      <protection locked="0"/>
    </xf>
    <xf numFmtId="44" fontId="19" fillId="8" borderId="30" xfId="5" applyNumberFormat="1" applyFont="1" applyFill="1" applyBorder="1" applyAlignment="1" applyProtection="1">
      <alignment horizontal="right" vertical="top" wrapText="1"/>
      <protection locked="0"/>
    </xf>
    <xf numFmtId="0" fontId="6" fillId="11" borderId="6" xfId="5" applyFont="1" applyFill="1" applyBorder="1" applyAlignment="1" applyProtection="1">
      <alignment horizontal="left" vertical="center" wrapText="1"/>
    </xf>
    <xf numFmtId="0" fontId="6" fillId="11" borderId="30" xfId="5" applyFont="1" applyFill="1" applyBorder="1" applyAlignment="1" applyProtection="1">
      <alignment horizontal="left" vertical="center" wrapText="1"/>
    </xf>
    <xf numFmtId="0" fontId="6" fillId="2" borderId="71" xfId="5" applyFont="1" applyFill="1" applyBorder="1" applyAlignment="1" applyProtection="1">
      <alignment wrapText="1" shrinkToFit="1"/>
    </xf>
    <xf numFmtId="0" fontId="6" fillId="2" borderId="21" xfId="5" applyFont="1" applyFill="1" applyBorder="1" applyAlignment="1" applyProtection="1">
      <alignment shrinkToFit="1"/>
    </xf>
    <xf numFmtId="0" fontId="6" fillId="2" borderId="24" xfId="5" applyFont="1" applyFill="1" applyBorder="1" applyAlignment="1" applyProtection="1">
      <alignment shrinkToFit="1"/>
    </xf>
    <xf numFmtId="0" fontId="6" fillId="2" borderId="72" xfId="5" applyFont="1" applyFill="1" applyBorder="1" applyAlignment="1" applyProtection="1">
      <alignment shrinkToFit="1"/>
    </xf>
    <xf numFmtId="0" fontId="6" fillId="2" borderId="0" xfId="5" applyFont="1" applyFill="1" applyBorder="1" applyAlignment="1" applyProtection="1">
      <alignment shrinkToFit="1"/>
    </xf>
    <xf numFmtId="0" fontId="6" fillId="2" borderId="2" xfId="5" applyFont="1" applyFill="1" applyBorder="1" applyAlignment="1" applyProtection="1">
      <alignment shrinkToFit="1"/>
    </xf>
    <xf numFmtId="0" fontId="6" fillId="2" borderId="73" xfId="5" applyFont="1" applyFill="1" applyBorder="1" applyAlignment="1" applyProtection="1">
      <alignment shrinkToFit="1"/>
    </xf>
    <xf numFmtId="0" fontId="6" fillId="2" borderId="23" xfId="5" applyFont="1" applyFill="1" applyBorder="1" applyAlignment="1" applyProtection="1">
      <alignment shrinkToFit="1"/>
    </xf>
    <xf numFmtId="0" fontId="6" fillId="2" borderId="27" xfId="5" applyFont="1" applyFill="1" applyBorder="1" applyAlignment="1" applyProtection="1">
      <alignment shrinkToFit="1"/>
    </xf>
    <xf numFmtId="0" fontId="6" fillId="8" borderId="0" xfId="5" applyFill="1" applyBorder="1" applyAlignment="1" applyProtection="1">
      <alignment wrapText="1" shrinkToFit="1"/>
    </xf>
    <xf numFmtId="0" fontId="6" fillId="8" borderId="69" xfId="0" applyFont="1" applyFill="1" applyBorder="1" applyAlignment="1" applyProtection="1">
      <alignment wrapText="1" shrinkToFit="1"/>
    </xf>
    <xf numFmtId="0" fontId="6" fillId="8" borderId="23" xfId="0" applyFont="1" applyFill="1" applyBorder="1" applyAlignment="1" applyProtection="1">
      <alignment wrapText="1" shrinkToFit="1"/>
    </xf>
    <xf numFmtId="0" fontId="6" fillId="8" borderId="48" xfId="0" applyFont="1" applyFill="1" applyBorder="1" applyAlignment="1" applyProtection="1">
      <alignment wrapText="1" shrinkToFit="1"/>
    </xf>
    <xf numFmtId="0" fontId="8" fillId="24" borderId="71" xfId="0" applyFont="1" applyFill="1" applyBorder="1" applyAlignment="1" applyProtection="1">
      <alignment horizontal="center" vertical="center" wrapText="1" shrinkToFit="1"/>
    </xf>
    <xf numFmtId="0" fontId="8" fillId="24" borderId="21" xfId="0" applyFont="1" applyFill="1" applyBorder="1" applyAlignment="1" applyProtection="1">
      <alignment horizontal="center" vertical="center" wrapText="1" shrinkToFit="1"/>
    </xf>
    <xf numFmtId="0" fontId="8" fillId="24" borderId="68" xfId="0" applyFont="1" applyFill="1" applyBorder="1" applyAlignment="1" applyProtection="1">
      <alignment horizontal="center" vertical="center" wrapText="1" shrinkToFit="1"/>
    </xf>
    <xf numFmtId="0" fontId="8" fillId="24" borderId="72" xfId="0" applyFont="1" applyFill="1" applyBorder="1" applyAlignment="1" applyProtection="1">
      <alignment horizontal="center" vertical="center" wrapText="1" shrinkToFit="1"/>
    </xf>
    <xf numFmtId="0" fontId="8" fillId="24" borderId="0" xfId="0" applyFont="1" applyFill="1" applyBorder="1" applyAlignment="1" applyProtection="1">
      <alignment horizontal="center" vertical="center" wrapText="1" shrinkToFit="1"/>
    </xf>
    <xf numFmtId="0" fontId="8" fillId="24" borderId="69" xfId="0" applyFont="1" applyFill="1" applyBorder="1" applyAlignment="1" applyProtection="1">
      <alignment horizontal="center" vertical="center" wrapText="1" shrinkToFit="1"/>
    </xf>
    <xf numFmtId="0" fontId="7" fillId="2" borderId="0" xfId="0" applyFont="1" applyFill="1" applyBorder="1" applyAlignment="1" applyProtection="1">
      <alignment wrapText="1" shrinkToFit="1"/>
    </xf>
    <xf numFmtId="0" fontId="7" fillId="2" borderId="69" xfId="0" applyFont="1" applyFill="1" applyBorder="1" applyAlignment="1" applyProtection="1">
      <alignment wrapText="1" shrinkToFit="1"/>
    </xf>
    <xf numFmtId="0" fontId="6" fillId="2" borderId="0" xfId="0" applyFont="1" applyFill="1" applyBorder="1" applyAlignment="1" applyProtection="1">
      <alignment shrinkToFit="1"/>
    </xf>
    <xf numFmtId="0" fontId="6" fillId="2" borderId="69" xfId="0" applyFont="1" applyFill="1" applyBorder="1" applyAlignment="1" applyProtection="1">
      <alignment shrinkToFit="1"/>
    </xf>
    <xf numFmtId="44" fontId="6" fillId="0" borderId="30" xfId="1" applyFont="1" applyFill="1" applyBorder="1" applyAlignment="1">
      <alignment vertical="center" wrapText="1" shrinkToFit="1"/>
    </xf>
    <xf numFmtId="0" fontId="19" fillId="18" borderId="71" xfId="0" applyFont="1" applyFill="1" applyBorder="1" applyAlignment="1">
      <alignment horizontal="center" vertical="center" wrapText="1" shrinkToFit="1"/>
    </xf>
    <xf numFmtId="0" fontId="19" fillId="18" borderId="68" xfId="0" applyFont="1" applyFill="1" applyBorder="1" applyAlignment="1">
      <alignment horizontal="center" vertical="center" wrapText="1" shrinkToFit="1"/>
    </xf>
    <xf numFmtId="0" fontId="19" fillId="18" borderId="72" xfId="0" applyFont="1" applyFill="1" applyBorder="1" applyAlignment="1">
      <alignment horizontal="center" vertical="center" wrapText="1" shrinkToFit="1"/>
    </xf>
    <xf numFmtId="0" fontId="19" fillId="18" borderId="69" xfId="0" applyFont="1" applyFill="1" applyBorder="1" applyAlignment="1">
      <alignment horizontal="center" vertical="center" wrapText="1" shrinkToFit="1"/>
    </xf>
    <xf numFmtId="0" fontId="19" fillId="18" borderId="94" xfId="0" applyFont="1" applyFill="1" applyBorder="1" applyAlignment="1">
      <alignment horizontal="center" vertical="center" wrapText="1" shrinkToFit="1"/>
    </xf>
    <xf numFmtId="0" fontId="19" fillId="18" borderId="95" xfId="0" applyFont="1" applyFill="1" applyBorder="1" applyAlignment="1">
      <alignment horizontal="center" vertical="center" wrapText="1" shrinkToFit="1"/>
    </xf>
    <xf numFmtId="44" fontId="6" fillId="0" borderId="50" xfId="1" applyFont="1" applyFill="1" applyBorder="1" applyAlignment="1">
      <alignment horizontal="left" vertical="center" wrapText="1" shrinkToFit="1"/>
    </xf>
    <xf numFmtId="44" fontId="6" fillId="0" borderId="70" xfId="1" applyFont="1" applyFill="1" applyBorder="1" applyAlignment="1">
      <alignment horizontal="left" vertical="center" wrapText="1" shrinkToFit="1"/>
    </xf>
    <xf numFmtId="44" fontId="6" fillId="0" borderId="57" xfId="1" applyFont="1" applyFill="1" applyBorder="1" applyAlignment="1">
      <alignment horizontal="left" vertical="center" wrapText="1" shrinkToFit="1"/>
    </xf>
    <xf numFmtId="44" fontId="6" fillId="0" borderId="6" xfId="1" applyFont="1" applyFill="1" applyBorder="1" applyAlignment="1">
      <alignment horizontal="left" vertical="center" wrapText="1" shrinkToFit="1"/>
    </xf>
    <xf numFmtId="44" fontId="6" fillId="0" borderId="42" xfId="1" applyFont="1" applyFill="1" applyBorder="1" applyAlignment="1">
      <alignment horizontal="left" vertical="center" wrapText="1" shrinkToFit="1"/>
    </xf>
    <xf numFmtId="44" fontId="6" fillId="0" borderId="30" xfId="1" applyFont="1" applyFill="1" applyBorder="1" applyAlignment="1">
      <alignment horizontal="left" vertical="center" wrapText="1" shrinkToFit="1"/>
    </xf>
    <xf numFmtId="44" fontId="6" fillId="0" borderId="43" xfId="1" applyFont="1" applyFill="1" applyBorder="1" applyAlignment="1">
      <alignment horizontal="left" vertical="center" wrapText="1" shrinkToFit="1"/>
    </xf>
    <xf numFmtId="0" fontId="19" fillId="18" borderId="73" xfId="0" applyFont="1" applyFill="1" applyBorder="1" applyAlignment="1">
      <alignment horizontal="center" vertical="center" wrapText="1" shrinkToFit="1"/>
    </xf>
    <xf numFmtId="0" fontId="19" fillId="18" borderId="48" xfId="0" applyFont="1" applyFill="1" applyBorder="1" applyAlignment="1">
      <alignment horizontal="center" vertical="center" wrapText="1" shrinkToFit="1"/>
    </xf>
    <xf numFmtId="44" fontId="6" fillId="0" borderId="50" xfId="1" applyFont="1" applyFill="1" applyBorder="1" applyAlignment="1">
      <alignment vertical="center" wrapText="1" shrinkToFit="1"/>
    </xf>
    <xf numFmtId="44" fontId="6" fillId="0" borderId="70" xfId="1" applyFont="1" applyFill="1" applyBorder="1" applyAlignment="1">
      <alignment vertical="center" wrapText="1" shrinkToFit="1"/>
    </xf>
    <xf numFmtId="44" fontId="6" fillId="0" borderId="36" xfId="1" applyFont="1" applyFill="1" applyBorder="1" applyAlignment="1">
      <alignment vertical="center" wrapText="1" shrinkToFit="1"/>
    </xf>
    <xf numFmtId="44" fontId="6" fillId="0" borderId="6" xfId="1" applyFont="1" applyFill="1" applyBorder="1" applyAlignment="1">
      <alignment vertical="center" wrapText="1" shrinkToFit="1"/>
    </xf>
    <xf numFmtId="0" fontId="19" fillId="3" borderId="17" xfId="0" applyFont="1" applyFill="1" applyBorder="1" applyAlignment="1">
      <alignment horizontal="center" vertical="center" textRotation="90" wrapText="1" shrinkToFit="1"/>
    </xf>
    <xf numFmtId="0" fontId="19" fillId="3" borderId="41" xfId="0" applyFont="1" applyFill="1" applyBorder="1" applyAlignment="1">
      <alignment horizontal="center" vertical="center" textRotation="90" wrapText="1" shrinkToFit="1"/>
    </xf>
    <xf numFmtId="44" fontId="6" fillId="0" borderId="36" xfId="1" applyFont="1" applyFill="1" applyBorder="1" applyAlignment="1">
      <alignment horizontal="left" vertical="center" wrapText="1" shrinkToFit="1"/>
    </xf>
    <xf numFmtId="0" fontId="10" fillId="8" borderId="38" xfId="0" applyFont="1" applyFill="1" applyBorder="1" applyAlignment="1">
      <alignment horizontal="center" vertical="center" wrapText="1" shrinkToFit="1"/>
    </xf>
    <xf numFmtId="0" fontId="10" fillId="8" borderId="39" xfId="0" applyFont="1" applyFill="1" applyBorder="1" applyAlignment="1">
      <alignment horizontal="center" vertical="center" wrapText="1" shrinkToFit="1"/>
    </xf>
    <xf numFmtId="0" fontId="10" fillId="8" borderId="40" xfId="0" applyFont="1" applyFill="1" applyBorder="1" applyAlignment="1">
      <alignment horizontal="center" vertical="center" wrapText="1" shrinkToFit="1"/>
    </xf>
    <xf numFmtId="0" fontId="10" fillId="8" borderId="17" xfId="0" applyFont="1" applyFill="1" applyBorder="1" applyAlignment="1">
      <alignment horizontal="center" vertical="center" wrapText="1" shrinkToFit="1"/>
    </xf>
    <xf numFmtId="0" fontId="10" fillId="8" borderId="6" xfId="0" applyFont="1" applyFill="1" applyBorder="1" applyAlignment="1">
      <alignment horizontal="center" vertical="center" wrapText="1" shrinkToFit="1"/>
    </xf>
    <xf numFmtId="0" fontId="10" fillId="8" borderId="30" xfId="0" applyFont="1" applyFill="1" applyBorder="1" applyAlignment="1">
      <alignment horizontal="center" vertical="center" wrapText="1" shrinkToFit="1"/>
    </xf>
    <xf numFmtId="0" fontId="6" fillId="18" borderId="17" xfId="0" applyFont="1" applyFill="1" applyBorder="1" applyAlignment="1">
      <alignment horizontal="center" vertical="center" wrapText="1" shrinkToFit="1"/>
    </xf>
    <xf numFmtId="0" fontId="6" fillId="18" borderId="6" xfId="0" applyFont="1" applyFill="1" applyBorder="1" applyAlignment="1">
      <alignment horizontal="center" vertical="center" wrapText="1" shrinkToFit="1"/>
    </xf>
    <xf numFmtId="0" fontId="6" fillId="18" borderId="30" xfId="0" applyFont="1" applyFill="1" applyBorder="1" applyAlignment="1">
      <alignment horizontal="center" vertical="center" wrapText="1" shrinkToFit="1"/>
    </xf>
    <xf numFmtId="0" fontId="19" fillId="3" borderId="25" xfId="0" applyFont="1" applyFill="1" applyBorder="1" applyAlignment="1">
      <alignment horizontal="center" vertical="center" wrapText="1" shrinkToFit="1"/>
    </xf>
    <xf numFmtId="0" fontId="19" fillId="3" borderId="21" xfId="0" applyFont="1" applyFill="1" applyBorder="1" applyAlignment="1">
      <alignment horizontal="center" vertical="center" wrapText="1" shrinkToFit="1"/>
    </xf>
    <xf numFmtId="0" fontId="19" fillId="3" borderId="68" xfId="0" applyFont="1" applyFill="1" applyBorder="1" applyAlignment="1">
      <alignment horizontal="center" vertical="center" wrapText="1" shrinkToFit="1"/>
    </xf>
    <xf numFmtId="0" fontId="19" fillId="3" borderId="1" xfId="0" applyFont="1" applyFill="1" applyBorder="1" applyAlignment="1">
      <alignment horizontal="center" vertical="center" wrapText="1" shrinkToFit="1"/>
    </xf>
    <xf numFmtId="0" fontId="19" fillId="3" borderId="0" xfId="0" applyFont="1" applyFill="1" applyBorder="1" applyAlignment="1">
      <alignment horizontal="center" vertical="center" wrapText="1" shrinkToFit="1"/>
    </xf>
    <xf numFmtId="0" fontId="19" fillId="3" borderId="69" xfId="0" applyFont="1" applyFill="1" applyBorder="1" applyAlignment="1">
      <alignment horizontal="center" vertical="center" wrapText="1" shrinkToFit="1"/>
    </xf>
    <xf numFmtId="0" fontId="19" fillId="3" borderId="26" xfId="0" applyFont="1" applyFill="1" applyBorder="1" applyAlignment="1">
      <alignment horizontal="center" vertical="center" wrapText="1" shrinkToFit="1"/>
    </xf>
    <xf numFmtId="0" fontId="19" fillId="3" borderId="23" xfId="0" applyFont="1" applyFill="1" applyBorder="1" applyAlignment="1">
      <alignment horizontal="center" vertical="center" wrapText="1" shrinkToFit="1"/>
    </xf>
    <xf numFmtId="0" fontId="19" fillId="3" borderId="48" xfId="0" applyFont="1" applyFill="1" applyBorder="1" applyAlignment="1">
      <alignment horizontal="center" vertical="center" wrapText="1" shrinkToFit="1"/>
    </xf>
    <xf numFmtId="0" fontId="19" fillId="3" borderId="6" xfId="0" applyFont="1" applyFill="1" applyBorder="1" applyAlignment="1">
      <alignment horizontal="center" vertical="center" wrapText="1" shrinkToFit="1"/>
    </xf>
    <xf numFmtId="0" fontId="19" fillId="3" borderId="30" xfId="0" applyFont="1" applyFill="1" applyBorder="1" applyAlignment="1">
      <alignment horizontal="center" vertical="center" wrapText="1" shrinkToFit="1"/>
    </xf>
    <xf numFmtId="0" fontId="19" fillId="18" borderId="50" xfId="0" applyFont="1" applyFill="1" applyBorder="1" applyAlignment="1">
      <alignment horizontal="center" vertical="center" wrapText="1" shrinkToFit="1"/>
    </xf>
    <xf numFmtId="0" fontId="19" fillId="18" borderId="70" xfId="0" applyFont="1" applyFill="1" applyBorder="1" applyAlignment="1">
      <alignment horizontal="center" vertical="center" wrapText="1" shrinkToFit="1"/>
    </xf>
    <xf numFmtId="0" fontId="19" fillId="18" borderId="36" xfId="0" applyFont="1" applyFill="1" applyBorder="1" applyAlignment="1">
      <alignment horizontal="center" vertical="center" wrapText="1" shrinkToFit="1"/>
    </xf>
    <xf numFmtId="0" fontId="19" fillId="18" borderId="6" xfId="0" applyFont="1" applyFill="1" applyBorder="1" applyAlignment="1">
      <alignment horizontal="center" vertical="center" wrapText="1" shrinkToFit="1"/>
    </xf>
    <xf numFmtId="0" fontId="19" fillId="18" borderId="30" xfId="0" applyFont="1" applyFill="1" applyBorder="1" applyAlignment="1">
      <alignment horizontal="center" vertical="center" wrapText="1" shrinkToFit="1"/>
    </xf>
    <xf numFmtId="0" fontId="40" fillId="5" borderId="18" xfId="5" applyFont="1" applyFill="1" applyBorder="1" applyAlignment="1" applyProtection="1">
      <alignment horizontal="center" vertical="center" shrinkToFit="1"/>
    </xf>
    <xf numFmtId="0" fontId="40" fillId="5" borderId="14" xfId="5" applyFont="1" applyFill="1" applyBorder="1" applyAlignment="1" applyProtection="1">
      <alignment horizontal="center" vertical="center" shrinkToFit="1"/>
    </xf>
    <xf numFmtId="0" fontId="40" fillId="5" borderId="19" xfId="5" applyFont="1" applyFill="1" applyBorder="1" applyAlignment="1" applyProtection="1">
      <alignment horizontal="center" vertical="center" shrinkToFit="1"/>
    </xf>
    <xf numFmtId="0" fontId="6" fillId="4" borderId="6" xfId="5" applyFont="1" applyFill="1" applyBorder="1" applyAlignment="1" applyProtection="1">
      <alignment vertical="center" shrinkToFit="1"/>
    </xf>
    <xf numFmtId="0" fontId="6" fillId="2" borderId="6" xfId="5" applyFont="1" applyFill="1" applyBorder="1" applyAlignment="1" applyProtection="1">
      <alignment shrinkToFit="1"/>
    </xf>
    <xf numFmtId="0" fontId="6" fillId="4" borderId="6" xfId="5" applyFont="1" applyFill="1" applyBorder="1" applyAlignment="1" applyProtection="1">
      <alignment shrinkToFit="1"/>
    </xf>
    <xf numFmtId="0" fontId="6" fillId="2" borderId="18" xfId="5" applyFont="1" applyFill="1" applyBorder="1" applyAlignment="1" applyProtection="1">
      <alignment shrinkToFit="1"/>
    </xf>
    <xf numFmtId="0" fontId="6" fillId="2" borderId="14" xfId="5" applyFont="1" applyFill="1" applyBorder="1" applyAlignment="1" applyProtection="1">
      <alignment shrinkToFit="1"/>
    </xf>
    <xf numFmtId="0" fontId="6" fillId="2" borderId="19" xfId="5" applyFont="1" applyFill="1" applyBorder="1" applyAlignment="1" applyProtection="1">
      <alignment shrinkToFit="1"/>
    </xf>
    <xf numFmtId="0" fontId="6" fillId="9" borderId="6" xfId="5" applyFont="1" applyFill="1" applyBorder="1" applyAlignment="1" applyProtection="1">
      <alignment vertical="center" shrinkToFit="1"/>
    </xf>
    <xf numFmtId="0" fontId="6" fillId="0" borderId="6" xfId="5" applyFont="1" applyFill="1" applyBorder="1" applyAlignment="1" applyProtection="1">
      <alignment shrinkToFit="1"/>
    </xf>
    <xf numFmtId="0" fontId="36" fillId="5" borderId="1" xfId="5" applyFont="1" applyFill="1" applyBorder="1" applyAlignment="1" applyProtection="1">
      <alignment horizontal="center" vertical="center" wrapText="1"/>
    </xf>
    <xf numFmtId="0" fontId="36" fillId="5" borderId="0" xfId="5" applyFont="1" applyFill="1" applyBorder="1" applyAlignment="1" applyProtection="1">
      <alignment horizontal="center" vertical="center" wrapText="1"/>
    </xf>
    <xf numFmtId="0" fontId="25" fillId="4" borderId="71" xfId="5" applyFont="1" applyFill="1" applyBorder="1" applyAlignment="1" applyProtection="1">
      <alignment horizontal="center" vertical="center" wrapText="1"/>
    </xf>
    <xf numFmtId="0" fontId="25" fillId="4" borderId="21" xfId="5" applyFont="1" applyFill="1" applyBorder="1" applyAlignment="1" applyProtection="1">
      <alignment horizontal="center" vertical="center" wrapText="1"/>
    </xf>
    <xf numFmtId="0" fontId="25" fillId="4" borderId="68" xfId="5" applyFont="1" applyFill="1" applyBorder="1" applyAlignment="1" applyProtection="1">
      <alignment horizontal="center" vertical="center" wrapText="1"/>
    </xf>
    <xf numFmtId="0" fontId="25" fillId="4" borderId="72" xfId="5" applyFont="1" applyFill="1" applyBorder="1" applyAlignment="1" applyProtection="1">
      <alignment horizontal="center" vertical="center" wrapText="1"/>
    </xf>
    <xf numFmtId="0" fontId="25" fillId="4" borderId="0" xfId="5" applyFont="1" applyFill="1" applyBorder="1" applyAlignment="1" applyProtection="1">
      <alignment horizontal="center" vertical="center" wrapText="1"/>
    </xf>
    <xf numFmtId="0" fontId="25" fillId="4" borderId="69" xfId="5" applyFont="1" applyFill="1" applyBorder="1" applyAlignment="1" applyProtection="1">
      <alignment horizontal="center" vertical="center" wrapText="1"/>
    </xf>
    <xf numFmtId="0" fontId="25" fillId="4" borderId="73" xfId="5" applyFont="1" applyFill="1" applyBorder="1" applyAlignment="1" applyProtection="1">
      <alignment horizontal="center" vertical="center" wrapText="1"/>
    </xf>
    <xf numFmtId="0" fontId="25" fillId="4" borderId="23" xfId="5" applyFont="1" applyFill="1" applyBorder="1" applyAlignment="1" applyProtection="1">
      <alignment horizontal="center" vertical="center" wrapText="1"/>
    </xf>
    <xf numFmtId="0" fontId="25" fillId="4" borderId="48" xfId="5" applyFont="1" applyFill="1" applyBorder="1" applyAlignment="1" applyProtection="1">
      <alignment horizontal="center" vertical="center" wrapText="1"/>
    </xf>
    <xf numFmtId="0" fontId="38" fillId="5" borderId="31" xfId="5" applyFont="1" applyFill="1" applyBorder="1" applyAlignment="1" applyProtection="1">
      <alignment horizontal="center" vertical="center" wrapText="1"/>
    </xf>
    <xf numFmtId="0" fontId="38" fillId="5" borderId="32" xfId="5" applyFont="1" applyFill="1" applyBorder="1" applyAlignment="1" applyProtection="1">
      <alignment horizontal="center" vertical="center" wrapText="1"/>
    </xf>
    <xf numFmtId="0" fontId="15" fillId="2" borderId="85" xfId="5" applyFont="1" applyFill="1" applyBorder="1" applyAlignment="1" applyProtection="1">
      <alignment horizontal="center" vertical="center" wrapText="1"/>
    </xf>
    <xf numFmtId="0" fontId="15" fillId="2" borderId="0" xfId="5" applyFont="1" applyFill="1" applyBorder="1" applyAlignment="1" applyProtection="1">
      <alignment horizontal="center" vertical="center" wrapText="1"/>
    </xf>
    <xf numFmtId="0" fontId="38" fillId="5" borderId="0" xfId="5" applyFont="1" applyFill="1" applyBorder="1" applyAlignment="1" applyProtection="1">
      <alignment horizontal="center" vertical="center" wrapText="1"/>
    </xf>
    <xf numFmtId="0" fontId="7" fillId="2" borderId="60" xfId="5" applyFont="1" applyFill="1" applyBorder="1" applyAlignment="1" applyProtection="1">
      <alignment horizontal="center" vertical="center" wrapText="1"/>
    </xf>
    <xf numFmtId="0" fontId="7" fillId="2" borderId="3" xfId="5" applyFont="1" applyFill="1" applyBorder="1" applyAlignment="1" applyProtection="1">
      <alignment horizontal="center" vertical="center" wrapText="1"/>
    </xf>
    <xf numFmtId="0" fontId="7" fillId="2" borderId="4" xfId="5" applyFont="1" applyFill="1" applyBorder="1" applyAlignment="1" applyProtection="1">
      <alignment horizontal="center" vertical="center" wrapText="1"/>
    </xf>
    <xf numFmtId="0" fontId="7" fillId="2" borderId="86" xfId="5" applyFont="1" applyFill="1" applyBorder="1" applyAlignment="1" applyProtection="1">
      <alignment horizontal="center" vertical="center" wrapText="1"/>
    </xf>
    <xf numFmtId="0" fontId="7" fillId="2" borderId="96" xfId="5" applyFont="1" applyFill="1" applyBorder="1" applyAlignment="1" applyProtection="1">
      <alignment horizontal="center" vertical="center" wrapText="1"/>
    </xf>
    <xf numFmtId="0" fontId="7" fillId="2" borderId="97" xfId="5" applyFont="1" applyFill="1" applyBorder="1" applyAlignment="1" applyProtection="1">
      <alignment horizontal="center" vertical="center" wrapText="1"/>
    </xf>
    <xf numFmtId="0" fontId="7" fillId="2" borderId="85" xfId="5" applyFont="1" applyFill="1" applyBorder="1" applyAlignment="1" applyProtection="1">
      <alignment horizontal="center" vertical="center" wrapText="1"/>
    </xf>
    <xf numFmtId="0" fontId="7" fillId="2" borderId="11" xfId="5" applyFont="1" applyFill="1" applyBorder="1" applyAlignment="1" applyProtection="1">
      <alignment horizontal="center" vertical="center" wrapText="1"/>
    </xf>
    <xf numFmtId="0" fontId="40" fillId="5" borderId="98" xfId="5" applyFont="1" applyFill="1" applyBorder="1" applyAlignment="1" applyProtection="1">
      <alignment horizontal="center" vertical="center" shrinkToFit="1"/>
    </xf>
    <xf numFmtId="0" fontId="40" fillId="5" borderId="99" xfId="5" applyFont="1" applyFill="1" applyBorder="1" applyAlignment="1" applyProtection="1">
      <alignment horizontal="center" vertical="center" shrinkToFit="1"/>
    </xf>
    <xf numFmtId="0" fontId="57" fillId="29" borderId="18" xfId="0" applyFont="1" applyFill="1" applyBorder="1" applyAlignment="1" applyProtection="1">
      <alignment shrinkToFit="1"/>
      <protection locked="0"/>
    </xf>
    <xf numFmtId="0" fontId="57" fillId="29" borderId="14" xfId="0" applyFont="1" applyFill="1" applyBorder="1" applyAlignment="1" applyProtection="1">
      <alignment shrinkToFit="1"/>
      <protection locked="0"/>
    </xf>
    <xf numFmtId="0" fontId="57" fillId="29" borderId="19" xfId="0" applyFont="1" applyFill="1" applyBorder="1" applyAlignment="1" applyProtection="1">
      <alignment shrinkToFit="1"/>
      <protection locked="0"/>
    </xf>
    <xf numFmtId="0" fontId="57" fillId="29" borderId="6" xfId="0" applyFont="1" applyFill="1" applyBorder="1" applyAlignment="1" applyProtection="1">
      <alignment shrinkToFit="1"/>
      <protection locked="0"/>
    </xf>
    <xf numFmtId="44" fontId="57" fillId="29" borderId="6" xfId="0" applyNumberFormat="1" applyFont="1" applyFill="1" applyBorder="1" applyAlignment="1" applyProtection="1">
      <alignment shrinkToFit="1"/>
      <protection locked="0"/>
    </xf>
  </cellXfs>
  <cellStyles count="30">
    <cellStyle name="Comma" xfId="29" builtinId="3"/>
    <cellStyle name="Comma 2" xfId="8"/>
    <cellStyle name="Comma 3" xfId="9"/>
    <cellStyle name="Currency" xfId="7" builtinId="4"/>
    <cellStyle name="Currency 2" xfId="1"/>
    <cellStyle name="Currency 2 2" xfId="10"/>
    <cellStyle name="Currency 2 3" xfId="11"/>
    <cellStyle name="Currency 2 4" xfId="12"/>
    <cellStyle name="Currency 2 5" xfId="13"/>
    <cellStyle name="Currency 3" xfId="14"/>
    <cellStyle name="Currency 4" xfId="15"/>
    <cellStyle name="Currency 5" xfId="16"/>
    <cellStyle name="Currency 6" xfId="17"/>
    <cellStyle name="Hyperlink" xfId="2" builtinId="8"/>
    <cellStyle name="Hyperlink 2" xfId="3"/>
    <cellStyle name="Normal" xfId="0" builtinId="0"/>
    <cellStyle name="Normal 2" xfId="4"/>
    <cellStyle name="Normal 2 2" xfId="18"/>
    <cellStyle name="Normal 2 3" xfId="19"/>
    <cellStyle name="Normal 3" xfId="5"/>
    <cellStyle name="Normal 3 2" xfId="20"/>
    <cellStyle name="Normal 3 3" xfId="21"/>
    <cellStyle name="Normal 4" xfId="22"/>
    <cellStyle name="Normal 5" xfId="23"/>
    <cellStyle name="Normal 6" xfId="24"/>
    <cellStyle name="Percent" xfId="6" builtinId="5"/>
    <cellStyle name="Percent 2" xfId="25"/>
    <cellStyle name="Percent 3" xfId="26"/>
    <cellStyle name="Percent 4" xfId="27"/>
    <cellStyle name="Percent 5" xfId="28"/>
  </cellStyles>
  <dxfs count="51">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b/>
        <i val="0"/>
        <strike val="0"/>
      </font>
      <fill>
        <patternFill>
          <bgColor rgb="FFFF0000"/>
        </patternFill>
      </fill>
    </dxf>
    <dxf>
      <font>
        <b/>
        <i val="0"/>
        <strike val="0"/>
      </font>
      <fill>
        <patternFill>
          <bgColor rgb="FFFF0000"/>
        </patternFill>
      </fill>
    </dxf>
    <dxf>
      <font>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strike val="0"/>
      </font>
      <fill>
        <patternFill>
          <bgColor rgb="FFFF0000"/>
        </patternFill>
      </fill>
    </dxf>
    <dxf>
      <font>
        <b/>
        <i val="0"/>
      </font>
      <fill>
        <patternFill>
          <bgColor rgb="FF00FF00"/>
        </patternFill>
      </fill>
    </dxf>
    <dxf>
      <font>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color auto="1"/>
      </font>
      <fill>
        <patternFill>
          <bgColor rgb="FF00B050"/>
        </patternFill>
      </fill>
    </dxf>
  </dxfs>
  <tableStyles count="0" defaultTableStyle="TableStyleMedium9" defaultPivotStyle="PivotStyleLight16"/>
  <colors>
    <mruColors>
      <color rgb="FFFF6600"/>
      <color rgb="FFFF9900"/>
      <color rgb="FFFFFF99"/>
      <color rgb="FFFF0066"/>
      <color rgb="FF0066FF"/>
      <color rgb="FF0000FF"/>
      <color rgb="FF6600FF"/>
      <color rgb="FFFF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1000125</xdr:colOff>
      <xdr:row>15</xdr:row>
      <xdr:rowOff>66676</xdr:rowOff>
    </xdr:from>
    <xdr:to>
      <xdr:col>9</xdr:col>
      <xdr:colOff>628650</xdr:colOff>
      <xdr:row>19</xdr:row>
      <xdr:rowOff>228600</xdr:rowOff>
    </xdr:to>
    <xdr:sp macro="" textlink="">
      <xdr:nvSpPr>
        <xdr:cNvPr id="4" name="AutoShape 23"/>
        <xdr:cNvSpPr>
          <a:spLocks noChangeArrowheads="1"/>
        </xdr:cNvSpPr>
      </xdr:nvSpPr>
      <xdr:spPr bwMode="auto">
        <a:xfrm>
          <a:off x="7286625" y="3648076"/>
          <a:ext cx="2771775" cy="904874"/>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295275</xdr:colOff>
      <xdr:row>15</xdr:row>
      <xdr:rowOff>190500</xdr:rowOff>
    </xdr:from>
    <xdr:to>
      <xdr:col>6</xdr:col>
      <xdr:colOff>1009650</xdr:colOff>
      <xdr:row>16</xdr:row>
      <xdr:rowOff>219075</xdr:rowOff>
    </xdr:to>
    <xdr:sp macro="" textlink="">
      <xdr:nvSpPr>
        <xdr:cNvPr id="30831" name="Line 25"/>
        <xdr:cNvSpPr>
          <a:spLocks noChangeShapeType="1"/>
        </xdr:cNvSpPr>
      </xdr:nvSpPr>
      <xdr:spPr bwMode="auto">
        <a:xfrm flipH="1" flipV="1">
          <a:off x="6581775" y="3895725"/>
          <a:ext cx="714375" cy="342900"/>
        </a:xfrm>
        <a:prstGeom prst="line">
          <a:avLst/>
        </a:prstGeom>
        <a:noFill/>
        <a:ln w="9525">
          <a:solidFill>
            <a:srgbClr val="000000"/>
          </a:solidFill>
          <a:round/>
          <a:headEnd/>
          <a:tailEnd type="triangle" w="med" len="med"/>
        </a:ln>
      </xdr:spPr>
    </xdr:sp>
    <xdr:clientData/>
  </xdr:twoCellAnchor>
  <xdr:twoCellAnchor>
    <xdr:from>
      <xdr:col>6</xdr:col>
      <xdr:colOff>342900</xdr:colOff>
      <xdr:row>18</xdr:row>
      <xdr:rowOff>238125</xdr:rowOff>
    </xdr:from>
    <xdr:to>
      <xdr:col>6</xdr:col>
      <xdr:colOff>1019175</xdr:colOff>
      <xdr:row>20</xdr:row>
      <xdr:rowOff>19050</xdr:rowOff>
    </xdr:to>
    <xdr:sp macro="" textlink="">
      <xdr:nvSpPr>
        <xdr:cNvPr id="30832" name="Line 26"/>
        <xdr:cNvSpPr>
          <a:spLocks noChangeShapeType="1"/>
        </xdr:cNvSpPr>
      </xdr:nvSpPr>
      <xdr:spPr bwMode="auto">
        <a:xfrm flipH="1">
          <a:off x="6629400" y="4572000"/>
          <a:ext cx="676275" cy="409575"/>
        </a:xfrm>
        <a:prstGeom prst="line">
          <a:avLst/>
        </a:prstGeom>
        <a:noFill/>
        <a:ln w="9525">
          <a:solidFill>
            <a:srgbClr val="000000"/>
          </a:solidFill>
          <a:round/>
          <a:headEnd/>
          <a:tailEnd type="triangle" w="med" len="med"/>
        </a:ln>
      </xdr:spPr>
    </xdr:sp>
    <xdr:clientData/>
  </xdr:twoCellAnchor>
  <xdr:twoCellAnchor>
    <xdr:from>
      <xdr:col>7</xdr:col>
      <xdr:colOff>9525</xdr:colOff>
      <xdr:row>24</xdr:row>
      <xdr:rowOff>152400</xdr:rowOff>
    </xdr:from>
    <xdr:to>
      <xdr:col>9</xdr:col>
      <xdr:colOff>685800</xdr:colOff>
      <xdr:row>27</xdr:row>
      <xdr:rowOff>314324</xdr:rowOff>
    </xdr:to>
    <xdr:sp macro="" textlink="">
      <xdr:nvSpPr>
        <xdr:cNvPr id="20" name="AutoShape 23"/>
        <xdr:cNvSpPr>
          <a:spLocks noChangeArrowheads="1"/>
        </xdr:cNvSpPr>
      </xdr:nvSpPr>
      <xdr:spPr bwMode="auto">
        <a:xfrm>
          <a:off x="7343775" y="6372225"/>
          <a:ext cx="2771775" cy="1104899"/>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7</xdr:col>
      <xdr:colOff>9525</xdr:colOff>
      <xdr:row>34</xdr:row>
      <xdr:rowOff>0</xdr:rowOff>
    </xdr:from>
    <xdr:to>
      <xdr:col>9</xdr:col>
      <xdr:colOff>685800</xdr:colOff>
      <xdr:row>37</xdr:row>
      <xdr:rowOff>161924</xdr:rowOff>
    </xdr:to>
    <xdr:sp macro="" textlink="">
      <xdr:nvSpPr>
        <xdr:cNvPr id="21" name="AutoShape 23"/>
        <xdr:cNvSpPr>
          <a:spLocks noChangeArrowheads="1"/>
        </xdr:cNvSpPr>
      </xdr:nvSpPr>
      <xdr:spPr bwMode="auto">
        <a:xfrm>
          <a:off x="7343775" y="9363075"/>
          <a:ext cx="2771775" cy="790574"/>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333375</xdr:colOff>
      <xdr:row>24</xdr:row>
      <xdr:rowOff>285750</xdr:rowOff>
    </xdr:from>
    <xdr:to>
      <xdr:col>7</xdr:col>
      <xdr:colOff>0</xdr:colOff>
      <xdr:row>26</xdr:row>
      <xdr:rowOff>0</xdr:rowOff>
    </xdr:to>
    <xdr:sp macro="" textlink="">
      <xdr:nvSpPr>
        <xdr:cNvPr id="30836" name="Line 25"/>
        <xdr:cNvSpPr>
          <a:spLocks noChangeShapeType="1"/>
        </xdr:cNvSpPr>
      </xdr:nvSpPr>
      <xdr:spPr bwMode="auto">
        <a:xfrm flipH="1" flipV="1">
          <a:off x="6619875" y="6505575"/>
          <a:ext cx="714375" cy="342900"/>
        </a:xfrm>
        <a:prstGeom prst="line">
          <a:avLst/>
        </a:prstGeom>
        <a:noFill/>
        <a:ln w="9525">
          <a:solidFill>
            <a:srgbClr val="000000"/>
          </a:solidFill>
          <a:round/>
          <a:headEnd/>
          <a:tailEnd type="triangle" w="med" len="med"/>
        </a:ln>
      </xdr:spPr>
    </xdr:sp>
    <xdr:clientData/>
  </xdr:twoCellAnchor>
  <xdr:twoCellAnchor>
    <xdr:from>
      <xdr:col>6</xdr:col>
      <xdr:colOff>381000</xdr:colOff>
      <xdr:row>27</xdr:row>
      <xdr:rowOff>19050</xdr:rowOff>
    </xdr:from>
    <xdr:to>
      <xdr:col>7</xdr:col>
      <xdr:colOff>9525</xdr:colOff>
      <xdr:row>28</xdr:row>
      <xdr:rowOff>114300</xdr:rowOff>
    </xdr:to>
    <xdr:sp macro="" textlink="">
      <xdr:nvSpPr>
        <xdr:cNvPr id="30837" name="Line 26"/>
        <xdr:cNvSpPr>
          <a:spLocks noChangeShapeType="1"/>
        </xdr:cNvSpPr>
      </xdr:nvSpPr>
      <xdr:spPr bwMode="auto">
        <a:xfrm flipH="1">
          <a:off x="6667500" y="7181850"/>
          <a:ext cx="676275" cy="409575"/>
        </a:xfrm>
        <a:prstGeom prst="line">
          <a:avLst/>
        </a:prstGeom>
        <a:noFill/>
        <a:ln w="9525">
          <a:solidFill>
            <a:srgbClr val="000000"/>
          </a:solidFill>
          <a:round/>
          <a:headEnd/>
          <a:tailEnd type="triangle" w="med" len="med"/>
        </a:ln>
      </xdr:spPr>
    </xdr:sp>
    <xdr:clientData/>
  </xdr:twoCellAnchor>
  <xdr:twoCellAnchor>
    <xdr:from>
      <xdr:col>6</xdr:col>
      <xdr:colOff>314325</xdr:colOff>
      <xdr:row>33</xdr:row>
      <xdr:rowOff>285750</xdr:rowOff>
    </xdr:from>
    <xdr:to>
      <xdr:col>6</xdr:col>
      <xdr:colOff>1028700</xdr:colOff>
      <xdr:row>35</xdr:row>
      <xdr:rowOff>0</xdr:rowOff>
    </xdr:to>
    <xdr:sp macro="" textlink="">
      <xdr:nvSpPr>
        <xdr:cNvPr id="30838" name="Line 25"/>
        <xdr:cNvSpPr>
          <a:spLocks noChangeShapeType="1"/>
        </xdr:cNvSpPr>
      </xdr:nvSpPr>
      <xdr:spPr bwMode="auto">
        <a:xfrm flipH="1" flipV="1">
          <a:off x="6600825" y="9334500"/>
          <a:ext cx="714375" cy="342900"/>
        </a:xfrm>
        <a:prstGeom prst="line">
          <a:avLst/>
        </a:prstGeom>
        <a:noFill/>
        <a:ln w="9525">
          <a:solidFill>
            <a:srgbClr val="000000"/>
          </a:solidFill>
          <a:round/>
          <a:headEnd/>
          <a:tailEnd type="triangle" w="med" len="med"/>
        </a:ln>
      </xdr:spPr>
    </xdr:sp>
    <xdr:clientData/>
  </xdr:twoCellAnchor>
  <xdr:twoCellAnchor>
    <xdr:from>
      <xdr:col>6</xdr:col>
      <xdr:colOff>361950</xdr:colOff>
      <xdr:row>37</xdr:row>
      <xdr:rowOff>0</xdr:rowOff>
    </xdr:from>
    <xdr:to>
      <xdr:col>6</xdr:col>
      <xdr:colOff>1038225</xdr:colOff>
      <xdr:row>37</xdr:row>
      <xdr:rowOff>114300</xdr:rowOff>
    </xdr:to>
    <xdr:sp macro="" textlink="">
      <xdr:nvSpPr>
        <xdr:cNvPr id="30839" name="Line 26"/>
        <xdr:cNvSpPr>
          <a:spLocks noChangeShapeType="1"/>
        </xdr:cNvSpPr>
      </xdr:nvSpPr>
      <xdr:spPr bwMode="auto">
        <a:xfrm flipH="1">
          <a:off x="6648450" y="9991725"/>
          <a:ext cx="676275" cy="114300"/>
        </a:xfrm>
        <a:prstGeom prst="line">
          <a:avLst/>
        </a:prstGeom>
        <a:noFill/>
        <a:ln w="9525">
          <a:solidFill>
            <a:srgbClr val="000000"/>
          </a:solidFill>
          <a:round/>
          <a:headEnd/>
          <a:tailEnd type="triangle" w="med" len="med"/>
        </a:ln>
      </xdr:spPr>
    </xdr:sp>
    <xdr:clientData/>
  </xdr:twoCellAnchor>
  <xdr:twoCellAnchor editAs="oneCell">
    <xdr:from>
      <xdr:col>0</xdr:col>
      <xdr:colOff>186888</xdr:colOff>
      <xdr:row>0</xdr:row>
      <xdr:rowOff>68580</xdr:rowOff>
    </xdr:from>
    <xdr:to>
      <xdr:col>0</xdr:col>
      <xdr:colOff>1006268</xdr:colOff>
      <xdr:row>1</xdr:row>
      <xdr:rowOff>137160</xdr:rowOff>
    </xdr:to>
    <xdr:pic>
      <xdr:nvPicPr>
        <xdr:cNvPr id="102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86888" y="68580"/>
          <a:ext cx="834620" cy="9144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179268</xdr:colOff>
      <xdr:row>0</xdr:row>
      <xdr:rowOff>60960</xdr:rowOff>
    </xdr:from>
    <xdr:to>
      <xdr:col>0</xdr:col>
      <xdr:colOff>930426</xdr:colOff>
      <xdr:row>1</xdr:row>
      <xdr:rowOff>121920</xdr:rowOff>
    </xdr:to>
    <xdr:pic>
      <xdr:nvPicPr>
        <xdr:cNvPr id="204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9268" y="60960"/>
          <a:ext cx="751158" cy="82296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itle%20l%20EB\Allocations\State%20Fiscal%20Stabilization%20Fund\GSF.Preliminary.Allocations.to.LEAs.Workbook_J.Skinner_10-28-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Jeremy.Skinner\Desktop\FFY%202009%20Application%20Forms\Charter%20LEA%201003(a)%20Application%20and%20Budget_09-17-0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Jeremy.Skinner\Desktop\SFSF_Application.Review.Form_J.Skinner_12-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AL\Notice%20of%20New%20or%20Expanding%20Charters\New%20or%20Significantly%20Expanding%20Public%20Charter%20School%20Notification%20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eremy.Skinner\Desktop\1003(a)_LEA.Application.FFY.2008.FFY.2009_J.Skinner_12-15-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L\School%20Improvement\FFY%202009%20Application%20Forms\1003(a)_LEA.Application.FFY.2008.and.FFY.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AL\Consolidated%20Application\FFY%202011%20Consolidated%20Apps\ConApp_FFY.2011.Phase.II.Application_05-19-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AL\School%20Improvement\1003(a).Received.Applications\Applications\Capital%20City%20PCS\1003(a)_FFY2009.Application.CapitalCity.PCS_03-05-10_rev.03-17-10.xl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AL\Consolidated%20Application\FFY%202010%20Consolidated%20Apps\FFY.2010.Phase.II.Consolidated.Application_06-25-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Natalie.Mitchell\Local%20Settings\Temporary%20Internet%20Files\Content.Outlook\5TCNI2EJ\1003(a)_LEA%20Application%20FFY%202008%20and%20FFY%20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ronda.kardash\AppData\Local\Microsoft\Windows\Temporary%20Internet%20Files\Content.Outlook\90VHKUM3\ConApp_FFY.2012.Phase.I.Application_05-1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Procedure"/>
      <sheetName val="Review Form"/>
      <sheetName val="Reference"/>
    </sheetNames>
    <sheetDataSet>
      <sheetData sheetId="0"/>
      <sheetData sheetId="1"/>
      <sheetData sheetId="2">
        <row r="2">
          <cell r="A2" t="str">
            <v>Yes</v>
          </cell>
        </row>
        <row r="3">
          <cell r="A3" t="str">
            <v>No</v>
          </cell>
        </row>
        <row r="4">
          <cell r="A4" t="str">
            <v>N/A</v>
          </cell>
        </row>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Form"/>
      <sheetName val="Sheet1"/>
    </sheetNames>
    <sheetDataSet>
      <sheetData sheetId="0"/>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OSSE Only"/>
      <sheetName val="Allo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A3" t="str">
            <v>Yes</v>
          </cell>
        </row>
        <row r="4">
          <cell r="A4" t="str">
            <v>No</v>
          </cell>
        </row>
        <row r="6">
          <cell r="A6" t="str">
            <v>X</v>
          </cell>
        </row>
      </sheetData>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ow r="13">
          <cell r="L13" t="str">
            <v>Yes</v>
          </cell>
        </row>
        <row r="14">
          <cell r="L14" t="str">
            <v>No</v>
          </cell>
        </row>
      </sheetData>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6">
          <cell r="A6" t="str">
            <v>X</v>
          </cell>
        </row>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Validation"/>
    </sheetNames>
    <sheetDataSet>
      <sheetData sheetId="0" refreshError="1"/>
      <sheetData sheetId="1">
        <row r="28">
          <cell r="B28">
            <v>184237.42</v>
          </cell>
        </row>
        <row r="62">
          <cell r="A62" t="str">
            <v>X</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9">
          <cell r="C9" t="str">
            <v>NON SETASIDE</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1" refreshError="1"/>
      <sheetData sheetId="12" refreshError="1"/>
      <sheetData sheetId="13" refreshError="1"/>
      <sheetData sheetId="14">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5" refreshError="1"/>
      <sheetData sheetId="16" refreshError="1"/>
      <sheetData sheetId="17" refreshError="1"/>
      <sheetData sheetId="18">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9" refreshError="1"/>
      <sheetData sheetId="20" refreshError="1"/>
      <sheetData sheetId="21">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A4" t="str">
            <v>X</v>
          </cell>
          <cell r="E4" t="str">
            <v>Arts and Technology Public Charter School</v>
          </cell>
        </row>
        <row r="5">
          <cell r="E5" t="str">
            <v>Booker T. Washington Public Charter School</v>
          </cell>
        </row>
        <row r="6">
          <cell r="A6" t="str">
            <v>Instruction</v>
          </cell>
          <cell r="E6" t="str">
            <v>Bridges Public Charter School</v>
          </cell>
        </row>
        <row r="7">
          <cell r="A7" t="str">
            <v>Support Services</v>
          </cell>
          <cell r="E7" t="str">
            <v>Capital City Public Charter School</v>
          </cell>
        </row>
        <row r="8">
          <cell r="A8" t="str">
            <v>Administration</v>
          </cell>
          <cell r="E8" t="str">
            <v>Carlos Rosario Public Charter School</v>
          </cell>
        </row>
        <row r="9">
          <cell r="A9" t="str">
            <v>Operations &amp; Maintenance</v>
          </cell>
          <cell r="E9" t="str">
            <v>Center City Public Charter School</v>
          </cell>
        </row>
        <row r="10">
          <cell r="A10" t="str">
            <v>Student Transportation</v>
          </cell>
          <cell r="E10" t="str">
            <v>Cesar Chavez Public Charter School</v>
          </cell>
        </row>
        <row r="11">
          <cell r="A11" t="str">
            <v>Other</v>
          </cell>
          <cell r="E11" t="str">
            <v>Children's Studio Public Charter School</v>
          </cell>
        </row>
        <row r="12">
          <cell r="E12" t="str">
            <v>City Collegiate Public Charter School</v>
          </cell>
        </row>
        <row r="13">
          <cell r="A13" t="str">
            <v>Yes</v>
          </cell>
          <cell r="E13" t="str">
            <v>Community Academy Public Charter School</v>
          </cell>
        </row>
        <row r="14">
          <cell r="A14" t="str">
            <v>No</v>
          </cell>
          <cell r="E14" t="str">
            <v>DC Bilingual Public Charter School</v>
          </cell>
        </row>
        <row r="15">
          <cell r="E15" t="str">
            <v>DC Preparatory Public Charter School</v>
          </cell>
        </row>
        <row r="16">
          <cell r="E16" t="str">
            <v>District of Columbia Public Schools (DCPS)</v>
          </cell>
        </row>
        <row r="17">
          <cell r="E17" t="str">
            <v>E.L. Haynes Public Charter School</v>
          </cell>
        </row>
        <row r="18">
          <cell r="E18" t="str">
            <v>Eagle Academy Public Charter School</v>
          </cell>
        </row>
        <row r="19">
          <cell r="E19" t="str">
            <v>Early Childhood Academy Public Charter School</v>
          </cell>
        </row>
        <row r="20">
          <cell r="E20" t="str">
            <v>Education Strengthens Families (ESF) Public Charter School</v>
          </cell>
        </row>
        <row r="21">
          <cell r="E21" t="str">
            <v>Elsie Whitlow Stokes Public Charter School</v>
          </cell>
        </row>
        <row r="22">
          <cell r="E22" t="str">
            <v>Excel Academy Public Charter School</v>
          </cell>
        </row>
        <row r="23">
          <cell r="E23" t="str">
            <v>Friendship Public Charter School</v>
          </cell>
        </row>
        <row r="24">
          <cell r="E24" t="str">
            <v>Hope Community Public Charter School</v>
          </cell>
        </row>
        <row r="25">
          <cell r="E25" t="str">
            <v>Hospitality Public Charter School</v>
          </cell>
        </row>
        <row r="26">
          <cell r="E26" t="str">
            <v>Howard Road Academy Public Charter School</v>
          </cell>
        </row>
        <row r="27">
          <cell r="E27" t="str">
            <v>Howard University Middle School for Math &amp; Science Public Charter School</v>
          </cell>
        </row>
        <row r="28">
          <cell r="E28" t="str">
            <v>Hyde Leadership Academy Public Charter School</v>
          </cell>
        </row>
        <row r="29">
          <cell r="E29" t="str">
            <v>Ideal Academy Public Charter School</v>
          </cell>
        </row>
        <row r="30">
          <cell r="E30" t="str">
            <v>Imagine Southeast Public Charter School</v>
          </cell>
        </row>
        <row r="31">
          <cell r="E31" t="str">
            <v>Inspired Teaching Demonstration Public Charter School</v>
          </cell>
        </row>
        <row r="32">
          <cell r="E32" t="str">
            <v>Integrated Design &amp; Electronics Academy (IDEA) Public Charter School</v>
          </cell>
        </row>
        <row r="33">
          <cell r="E33" t="str">
            <v>Kamit Institute for Magnificent  Achievers Public Charter School</v>
          </cell>
        </row>
        <row r="34">
          <cell r="E34" t="str">
            <v>KIPP DC Public Charter School</v>
          </cell>
        </row>
        <row r="35">
          <cell r="E35" t="str">
            <v>Latin American Montesori Bilingual (LAMB) Public Charter School</v>
          </cell>
        </row>
        <row r="36">
          <cell r="E36" t="str">
            <v>LAYC YouthBuild Public Charter School</v>
          </cell>
        </row>
        <row r="37">
          <cell r="E37" t="str">
            <v>Mary McLeod Bethune Public Charter School</v>
          </cell>
        </row>
        <row r="38">
          <cell r="E38" t="str">
            <v>Maya Angelou Public Charter School</v>
          </cell>
        </row>
        <row r="39">
          <cell r="E39" t="str">
            <v>Meridian Public Charter School</v>
          </cell>
        </row>
        <row r="40">
          <cell r="E40" t="str">
            <v>Mundo Verde Bilingual Public Charter School</v>
          </cell>
        </row>
        <row r="41">
          <cell r="E41" t="str">
            <v>National Collegiate Preparatory Public Charter School</v>
          </cell>
        </row>
        <row r="42">
          <cell r="E42" t="str">
            <v>Next Step Public Charter School</v>
          </cell>
        </row>
        <row r="43">
          <cell r="E43" t="str">
            <v>Nia Community Public Charter School</v>
          </cell>
        </row>
        <row r="44">
          <cell r="E44" t="str">
            <v>Options Public Charter School</v>
          </cell>
        </row>
        <row r="45">
          <cell r="E45" t="str">
            <v>Paul Public Charter School</v>
          </cell>
        </row>
        <row r="46">
          <cell r="E46" t="str">
            <v>Potomac Lighthouse Public Charter School</v>
          </cell>
        </row>
        <row r="47">
          <cell r="E47" t="str">
            <v>Richard Wright Public Charter School</v>
          </cell>
        </row>
        <row r="48">
          <cell r="E48" t="str">
            <v>Roots Public Charter School</v>
          </cell>
        </row>
        <row r="49">
          <cell r="E49" t="str">
            <v>School for Arts in Learning (SAIL) Public Charter School</v>
          </cell>
        </row>
        <row r="50">
          <cell r="E50" t="str">
            <v>SEED Public Charter School</v>
          </cell>
        </row>
        <row r="51">
          <cell r="E51" t="str">
            <v>Septima Clark Public Charter School</v>
          </cell>
        </row>
        <row r="52">
          <cell r="E52" t="str">
            <v>Shining Stars Montessori Public Charter School</v>
          </cell>
        </row>
        <row r="53">
          <cell r="E53" t="str">
            <v>St. Coletta Public Charter School</v>
          </cell>
        </row>
        <row r="54">
          <cell r="E54" t="str">
            <v>Thea Bowman Public Charter School</v>
          </cell>
        </row>
        <row r="55">
          <cell r="E55" t="str">
            <v>Thurgood Marshall Academy Public Charter School</v>
          </cell>
        </row>
        <row r="56">
          <cell r="E56" t="str">
            <v>Tree of Life Public Charter School</v>
          </cell>
        </row>
        <row r="57">
          <cell r="E57" t="str">
            <v>Two Rivers Public Charter School</v>
          </cell>
        </row>
        <row r="58">
          <cell r="E58" t="str">
            <v>Washington Latin Public Charter School</v>
          </cell>
        </row>
        <row r="59">
          <cell r="E59" t="str">
            <v>Washington Math Science &amp; Technology Public Charter School</v>
          </cell>
        </row>
        <row r="60">
          <cell r="E60" t="str">
            <v>Washington Yu Ying Public Charter School</v>
          </cell>
        </row>
        <row r="61">
          <cell r="E61" t="str">
            <v>William E. Doar Jr. Public Charter School</v>
          </cell>
        </row>
        <row r="62">
          <cell r="E62" t="str">
            <v>Young America Works Public Charter School</v>
          </cell>
        </row>
      </sheetData>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Validation"/>
      <sheetName val="OSSE Only"/>
    </sheetNames>
    <sheetDataSet>
      <sheetData sheetId="0"/>
      <sheetData sheetId="1">
        <row r="13">
          <cell r="L13" t="str">
            <v>Yes</v>
          </cell>
        </row>
        <row r="14">
          <cell r="L14" t="str">
            <v>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A6" t="str">
            <v>X</v>
          </cell>
        </row>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Sheet1"/>
      <sheetName val="Instructions"/>
      <sheetName val="Validation"/>
    </sheetNames>
    <sheetDataSet>
      <sheetData sheetId="0"/>
      <sheetData sheetId="1">
        <row r="62">
          <cell r="A62" t="str">
            <v>X</v>
          </cell>
        </row>
      </sheetData>
      <sheetData sheetId="2"/>
      <sheetData sheetId="3"/>
      <sheetData sheetId="4"/>
      <sheetData sheetId="5"/>
      <sheetData sheetId="6"/>
      <sheetData sheetId="7"/>
      <sheetData sheetId="8"/>
      <sheetData sheetId="9"/>
      <sheetData sheetId="10">
        <row r="9">
          <cell r="C9" t="str">
            <v xml:space="preserve">NON SET-ASIDE  </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11"/>
      <sheetData sheetId="12"/>
      <sheetData sheetId="13"/>
      <sheetData sheetId="14">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5"/>
      <sheetData sheetId="16"/>
      <sheetData sheetId="17"/>
      <sheetData sheetId="18">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9"/>
      <sheetData sheetId="20"/>
      <sheetData sheetId="21">
        <row r="6">
          <cell r="A6" t="str">
            <v>Instruction</v>
          </cell>
        </row>
        <row r="7">
          <cell r="A7" t="str">
            <v>Support Services</v>
          </cell>
        </row>
        <row r="8">
          <cell r="A8" t="str">
            <v>Administration</v>
          </cell>
        </row>
        <row r="9">
          <cell r="A9" t="str">
            <v>Operations &amp; Maintenance</v>
          </cell>
        </row>
        <row r="10">
          <cell r="A10" t="str">
            <v>Student Transportation</v>
          </cell>
        </row>
        <row r="11">
          <cell r="A11" t="str">
            <v>Other</v>
          </cell>
        </row>
        <row r="13">
          <cell r="A13" t="str">
            <v>Yes</v>
          </cell>
        </row>
        <row r="14">
          <cell r="A14" t="str">
            <v>No</v>
          </cell>
        </row>
      </sheetData>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Sheet1"/>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X</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40"/>
  <sheetViews>
    <sheetView topLeftCell="A22" zoomScale="80" zoomScaleNormal="80" zoomScalePageLayoutView="90" workbookViewId="0">
      <selection activeCell="S7" sqref="S7"/>
    </sheetView>
  </sheetViews>
  <sheetFormatPr defaultColWidth="9.140625" defaultRowHeight="12.75" x14ac:dyDescent="0.2"/>
  <cols>
    <col min="1" max="10" width="15.7109375" style="2" customWidth="1"/>
    <col min="11" max="51" width="4.7109375" style="2" customWidth="1"/>
    <col min="52" max="16384" width="9.140625" style="2"/>
  </cols>
  <sheetData>
    <row r="1" spans="1:10" ht="66.75" customHeight="1" x14ac:dyDescent="0.2">
      <c r="A1" s="344"/>
      <c r="B1" s="344"/>
      <c r="C1" s="344"/>
      <c r="D1" s="344"/>
      <c r="E1" s="344"/>
      <c r="F1" s="344"/>
      <c r="G1" s="344"/>
      <c r="H1" s="344"/>
      <c r="I1" s="344"/>
      <c r="J1" s="344"/>
    </row>
    <row r="2" spans="1:10" ht="15" customHeight="1" thickBot="1" x14ac:dyDescent="0.25">
      <c r="A2" s="345"/>
      <c r="B2" s="345"/>
      <c r="C2" s="345"/>
      <c r="D2" s="345"/>
      <c r="E2" s="345"/>
      <c r="F2" s="345"/>
      <c r="G2" s="345"/>
      <c r="H2" s="345"/>
      <c r="I2" s="345"/>
      <c r="J2" s="345"/>
    </row>
    <row r="3" spans="1:10" ht="15" customHeight="1" thickTop="1" x14ac:dyDescent="0.2">
      <c r="A3" s="338" t="s">
        <v>515</v>
      </c>
      <c r="B3" s="339"/>
      <c r="C3" s="339"/>
      <c r="D3" s="339"/>
      <c r="E3" s="339"/>
      <c r="F3" s="339"/>
      <c r="G3" s="339"/>
      <c r="H3" s="339"/>
      <c r="I3" s="339"/>
      <c r="J3" s="340"/>
    </row>
    <row r="4" spans="1:10" ht="15" customHeight="1" x14ac:dyDescent="0.2">
      <c r="A4" s="341" t="s">
        <v>3</v>
      </c>
      <c r="B4" s="342"/>
      <c r="C4" s="342"/>
      <c r="D4" s="342"/>
      <c r="E4" s="342"/>
      <c r="F4" s="342"/>
      <c r="G4" s="342"/>
      <c r="H4" s="342"/>
      <c r="I4" s="342"/>
      <c r="J4" s="343"/>
    </row>
    <row r="5" spans="1:10" ht="15" customHeight="1" x14ac:dyDescent="0.2">
      <c r="A5" s="341" t="s">
        <v>4</v>
      </c>
      <c r="B5" s="342"/>
      <c r="C5" s="342"/>
      <c r="D5" s="342"/>
      <c r="E5" s="342"/>
      <c r="F5" s="342"/>
      <c r="G5" s="342"/>
      <c r="H5" s="342"/>
      <c r="I5" s="342"/>
      <c r="J5" s="343"/>
    </row>
    <row r="6" spans="1:10" ht="15" customHeight="1" x14ac:dyDescent="0.2">
      <c r="A6" s="341" t="s">
        <v>5</v>
      </c>
      <c r="B6" s="342"/>
      <c r="C6" s="342"/>
      <c r="D6" s="342"/>
      <c r="E6" s="342"/>
      <c r="F6" s="342"/>
      <c r="G6" s="342"/>
      <c r="H6" s="342"/>
      <c r="I6" s="342"/>
      <c r="J6" s="343"/>
    </row>
    <row r="7" spans="1:10" ht="15" customHeight="1" x14ac:dyDescent="0.2">
      <c r="A7" s="341"/>
      <c r="B7" s="342"/>
      <c r="C7" s="342"/>
      <c r="D7" s="342"/>
      <c r="E7" s="342"/>
      <c r="F7" s="342"/>
      <c r="G7" s="342"/>
      <c r="H7" s="342"/>
      <c r="I7" s="342"/>
      <c r="J7" s="343"/>
    </row>
    <row r="8" spans="1:10" ht="15" customHeight="1" x14ac:dyDescent="0.2">
      <c r="A8" s="341" t="s">
        <v>25</v>
      </c>
      <c r="B8" s="342"/>
      <c r="C8" s="342"/>
      <c r="D8" s="342"/>
      <c r="E8" s="342"/>
      <c r="F8" s="342"/>
      <c r="G8" s="342"/>
      <c r="H8" s="342"/>
      <c r="I8" s="342"/>
      <c r="J8" s="343"/>
    </row>
    <row r="9" spans="1:10" ht="15" customHeight="1" x14ac:dyDescent="0.2">
      <c r="A9" s="3"/>
      <c r="B9" s="4"/>
      <c r="C9" s="4"/>
      <c r="D9" s="4"/>
      <c r="E9" s="4"/>
      <c r="F9" s="4"/>
      <c r="G9" s="4"/>
      <c r="H9" s="4"/>
      <c r="I9" s="4"/>
      <c r="J9" s="5"/>
    </row>
    <row r="10" spans="1:10" ht="15" customHeight="1" x14ac:dyDescent="0.2">
      <c r="A10" s="20"/>
      <c r="B10" s="6"/>
      <c r="C10" s="349" t="s">
        <v>501</v>
      </c>
      <c r="D10" s="349"/>
      <c r="E10" s="349"/>
      <c r="F10" s="349"/>
      <c r="G10" s="349"/>
      <c r="H10" s="349"/>
      <c r="I10" s="6"/>
      <c r="J10" s="7"/>
    </row>
    <row r="11" spans="1:10" ht="15" customHeight="1" x14ac:dyDescent="0.2">
      <c r="A11" s="20"/>
      <c r="B11" s="6"/>
      <c r="C11" s="349"/>
      <c r="D11" s="349"/>
      <c r="E11" s="349"/>
      <c r="F11" s="349"/>
      <c r="G11" s="349"/>
      <c r="H11" s="349"/>
      <c r="I11" s="6"/>
      <c r="J11" s="7"/>
    </row>
    <row r="12" spans="1:10" s="21" customFormat="1" ht="21" customHeight="1" x14ac:dyDescent="0.2">
      <c r="A12" s="12"/>
      <c r="B12" s="6"/>
      <c r="C12" s="349"/>
      <c r="D12" s="349"/>
      <c r="E12" s="349"/>
      <c r="F12" s="349"/>
      <c r="G12" s="349"/>
      <c r="H12" s="349"/>
      <c r="I12" s="6"/>
      <c r="J12" s="7"/>
    </row>
    <row r="13" spans="1:10" s="21" customFormat="1" ht="21" customHeight="1" thickBot="1" x14ac:dyDescent="0.25">
      <c r="A13" s="8"/>
      <c r="B13" s="9"/>
      <c r="C13" s="10"/>
      <c r="D13" s="10"/>
      <c r="E13" s="10"/>
      <c r="F13" s="10"/>
      <c r="G13" s="10"/>
      <c r="H13" s="10"/>
      <c r="I13" s="9"/>
      <c r="J13" s="11"/>
    </row>
    <row r="14" spans="1:10" ht="15" customHeight="1" thickTop="1" x14ac:dyDescent="0.2">
      <c r="A14" s="12"/>
      <c r="B14" s="6"/>
      <c r="C14" s="6"/>
      <c r="D14" s="6"/>
      <c r="E14" s="6"/>
      <c r="F14" s="6"/>
      <c r="G14" s="6"/>
      <c r="H14" s="6"/>
      <c r="I14" s="6"/>
      <c r="J14" s="7"/>
    </row>
    <row r="15" spans="1:10" ht="24.95" customHeight="1" x14ac:dyDescent="0.35">
      <c r="A15" s="13"/>
      <c r="B15" s="105"/>
      <c r="C15" s="14" t="s">
        <v>1</v>
      </c>
      <c r="D15" s="106"/>
      <c r="E15" s="106"/>
      <c r="F15" s="106"/>
      <c r="G15" s="15"/>
      <c r="H15" s="15"/>
      <c r="I15" s="15"/>
      <c r="J15" s="16"/>
    </row>
    <row r="16" spans="1:10" ht="24.95" customHeight="1" x14ac:dyDescent="0.25">
      <c r="A16" s="13"/>
      <c r="B16" s="107">
        <v>1</v>
      </c>
      <c r="C16" s="346" t="s">
        <v>2</v>
      </c>
      <c r="D16" s="346"/>
      <c r="E16" s="346"/>
      <c r="F16" s="346"/>
      <c r="G16" s="109"/>
      <c r="H16" s="15"/>
      <c r="I16" s="15"/>
      <c r="J16" s="16"/>
    </row>
    <row r="17" spans="1:10" ht="24.95" customHeight="1" x14ac:dyDescent="0.25">
      <c r="A17" s="13"/>
      <c r="B17" s="107" t="s">
        <v>550</v>
      </c>
      <c r="C17" s="337" t="s">
        <v>557</v>
      </c>
      <c r="D17" s="337"/>
      <c r="E17" s="337"/>
      <c r="F17" s="337"/>
      <c r="G17" s="109"/>
      <c r="H17" s="15"/>
      <c r="I17" s="15"/>
      <c r="J17" s="16"/>
    </row>
    <row r="18" spans="1:10" ht="24.95" customHeight="1" x14ac:dyDescent="0.25">
      <c r="A18" s="13"/>
      <c r="B18" s="107" t="s">
        <v>551</v>
      </c>
      <c r="C18" s="337" t="s">
        <v>282</v>
      </c>
      <c r="D18" s="337"/>
      <c r="E18" s="337"/>
      <c r="F18" s="337"/>
      <c r="G18" s="109"/>
      <c r="H18" s="15"/>
      <c r="I18" s="15"/>
      <c r="J18" s="16"/>
    </row>
    <row r="19" spans="1:10" ht="24.95" customHeight="1" x14ac:dyDescent="0.25">
      <c r="A19" s="13"/>
      <c r="B19" s="107">
        <v>3</v>
      </c>
      <c r="C19" s="347" t="s">
        <v>283</v>
      </c>
      <c r="D19" s="347"/>
      <c r="E19" s="347"/>
      <c r="F19" s="347"/>
      <c r="G19" s="109"/>
      <c r="H19" s="15"/>
      <c r="I19" s="15"/>
      <c r="J19" s="16"/>
    </row>
    <row r="20" spans="1:10" ht="24.95" customHeight="1" x14ac:dyDescent="0.25">
      <c r="A20" s="13"/>
      <c r="B20" s="107">
        <v>4</v>
      </c>
      <c r="C20" s="348" t="s">
        <v>284</v>
      </c>
      <c r="D20" s="348"/>
      <c r="E20" s="348"/>
      <c r="F20" s="348"/>
      <c r="G20" s="109"/>
      <c r="H20" s="15"/>
      <c r="I20" s="15"/>
      <c r="J20" s="16"/>
    </row>
    <row r="21" spans="1:10" ht="24.95" customHeight="1" x14ac:dyDescent="0.25">
      <c r="A21" s="13"/>
      <c r="B21" s="107">
        <v>5</v>
      </c>
      <c r="C21" s="334" t="s">
        <v>286</v>
      </c>
      <c r="D21" s="334"/>
      <c r="E21" s="334"/>
      <c r="F21" s="334"/>
      <c r="G21" s="109"/>
      <c r="H21" s="15"/>
      <c r="I21" s="15"/>
      <c r="J21" s="16"/>
    </row>
    <row r="22" spans="1:10" ht="24.95" customHeight="1" x14ac:dyDescent="0.25">
      <c r="A22" s="13"/>
      <c r="B22" s="107">
        <v>6</v>
      </c>
      <c r="C22" s="334" t="s">
        <v>289</v>
      </c>
      <c r="D22" s="334"/>
      <c r="E22" s="334"/>
      <c r="F22" s="334"/>
      <c r="G22" s="109"/>
      <c r="H22" s="15"/>
      <c r="I22" s="15"/>
      <c r="J22" s="16"/>
    </row>
    <row r="23" spans="1:10" ht="24.95" customHeight="1" x14ac:dyDescent="0.25">
      <c r="A23" s="13"/>
      <c r="B23" s="107">
        <v>7</v>
      </c>
      <c r="C23" s="334" t="s">
        <v>285</v>
      </c>
      <c r="D23" s="334"/>
      <c r="E23" s="334"/>
      <c r="F23" s="334"/>
      <c r="G23" s="109"/>
      <c r="H23" s="15"/>
      <c r="I23" s="15"/>
      <c r="J23" s="16"/>
    </row>
    <row r="24" spans="1:10" ht="24.95" customHeight="1" x14ac:dyDescent="0.25">
      <c r="A24" s="13"/>
      <c r="B24" s="107">
        <v>8</v>
      </c>
      <c r="C24" s="335" t="s">
        <v>287</v>
      </c>
      <c r="D24" s="335"/>
      <c r="E24" s="335"/>
      <c r="F24" s="335"/>
      <c r="G24" s="109"/>
      <c r="H24" s="15"/>
      <c r="I24" s="15"/>
      <c r="J24" s="16"/>
    </row>
    <row r="25" spans="1:10" ht="24.95" customHeight="1" x14ac:dyDescent="0.25">
      <c r="A25" s="13"/>
      <c r="B25" s="107">
        <v>9</v>
      </c>
      <c r="C25" s="336" t="s">
        <v>288</v>
      </c>
      <c r="D25" s="336"/>
      <c r="E25" s="336"/>
      <c r="F25" s="336"/>
      <c r="G25" s="109"/>
      <c r="H25" s="15"/>
      <c r="I25" s="15"/>
      <c r="J25" s="16"/>
    </row>
    <row r="26" spans="1:10" ht="24.95" customHeight="1" x14ac:dyDescent="0.25">
      <c r="A26" s="13"/>
      <c r="B26" s="107">
        <v>10</v>
      </c>
      <c r="C26" s="335" t="s">
        <v>290</v>
      </c>
      <c r="D26" s="335"/>
      <c r="E26" s="335"/>
      <c r="F26" s="335"/>
      <c r="G26" s="109"/>
      <c r="H26" s="15"/>
      <c r="I26" s="15"/>
      <c r="J26" s="16"/>
    </row>
    <row r="27" spans="1:10" ht="24.95" customHeight="1" x14ac:dyDescent="0.25">
      <c r="A27" s="13"/>
      <c r="B27" s="107">
        <v>11</v>
      </c>
      <c r="C27" s="325" t="s">
        <v>291</v>
      </c>
      <c r="D27" s="325"/>
      <c r="E27" s="325"/>
      <c r="F27" s="325"/>
      <c r="G27" s="109"/>
      <c r="H27" s="15"/>
      <c r="I27" s="15"/>
      <c r="J27" s="16"/>
    </row>
    <row r="28" spans="1:10" ht="24.95" customHeight="1" x14ac:dyDescent="0.25">
      <c r="A28" s="13"/>
      <c r="B28" s="107">
        <v>12</v>
      </c>
      <c r="C28" s="325" t="s">
        <v>292</v>
      </c>
      <c r="D28" s="325"/>
      <c r="E28" s="325"/>
      <c r="F28" s="325"/>
      <c r="G28" s="109"/>
      <c r="H28" s="15"/>
      <c r="I28" s="15"/>
      <c r="J28" s="16"/>
    </row>
    <row r="29" spans="1:10" ht="24.95" customHeight="1" x14ac:dyDescent="0.25">
      <c r="A29" s="13"/>
      <c r="B29" s="107">
        <v>13</v>
      </c>
      <c r="C29" s="325" t="s">
        <v>293</v>
      </c>
      <c r="D29" s="325"/>
      <c r="E29" s="325"/>
      <c r="F29" s="325"/>
      <c r="G29" s="109"/>
      <c r="H29" s="15"/>
      <c r="I29" s="15"/>
      <c r="J29" s="16"/>
    </row>
    <row r="30" spans="1:10" ht="24.95" customHeight="1" x14ac:dyDescent="0.25">
      <c r="A30" s="13"/>
      <c r="B30" s="107">
        <v>14</v>
      </c>
      <c r="C30" s="325" t="s">
        <v>294</v>
      </c>
      <c r="D30" s="325"/>
      <c r="E30" s="325"/>
      <c r="F30" s="325"/>
      <c r="G30" s="109"/>
      <c r="H30" s="15"/>
      <c r="I30" s="15"/>
      <c r="J30" s="16"/>
    </row>
    <row r="31" spans="1:10" ht="24.95" customHeight="1" x14ac:dyDescent="0.25">
      <c r="A31" s="13"/>
      <c r="B31" s="107">
        <v>15</v>
      </c>
      <c r="C31" s="328" t="s">
        <v>295</v>
      </c>
      <c r="D31" s="328"/>
      <c r="E31" s="328"/>
      <c r="F31" s="328"/>
      <c r="G31" s="109"/>
      <c r="H31" s="15"/>
      <c r="I31" s="15"/>
      <c r="J31" s="16"/>
    </row>
    <row r="32" spans="1:10" ht="24.95" customHeight="1" x14ac:dyDescent="0.25">
      <c r="A32" s="13"/>
      <c r="B32" s="107">
        <v>16</v>
      </c>
      <c r="C32" s="329" t="s">
        <v>296</v>
      </c>
      <c r="D32" s="329"/>
      <c r="E32" s="329"/>
      <c r="F32" s="329"/>
      <c r="G32" s="109"/>
      <c r="H32" s="15"/>
      <c r="I32" s="15"/>
      <c r="J32" s="16"/>
    </row>
    <row r="33" spans="1:10" ht="24.95" customHeight="1" x14ac:dyDescent="0.25">
      <c r="A33" s="13"/>
      <c r="B33" s="107">
        <v>17</v>
      </c>
      <c r="C33" s="329" t="s">
        <v>297</v>
      </c>
      <c r="D33" s="329"/>
      <c r="E33" s="329"/>
      <c r="F33" s="329"/>
      <c r="G33" s="109"/>
      <c r="H33" s="15"/>
      <c r="I33" s="15"/>
      <c r="J33" s="16"/>
    </row>
    <row r="34" spans="1:10" ht="24.95" customHeight="1" x14ac:dyDescent="0.25">
      <c r="A34" s="13"/>
      <c r="B34" s="107">
        <v>18</v>
      </c>
      <c r="C34" s="329" t="s">
        <v>298</v>
      </c>
      <c r="D34" s="329"/>
      <c r="E34" s="329"/>
      <c r="F34" s="329"/>
      <c r="G34" s="109"/>
      <c r="H34" s="15"/>
      <c r="I34" s="15"/>
      <c r="J34" s="16"/>
    </row>
    <row r="35" spans="1:10" ht="24.95" customHeight="1" x14ac:dyDescent="0.25">
      <c r="A35" s="13"/>
      <c r="B35" s="107">
        <v>19</v>
      </c>
      <c r="C35" s="330" t="s">
        <v>299</v>
      </c>
      <c r="D35" s="330"/>
      <c r="E35" s="330"/>
      <c r="F35" s="330"/>
      <c r="G35" s="109"/>
      <c r="H35" s="15"/>
      <c r="I35" s="15"/>
      <c r="J35" s="16"/>
    </row>
    <row r="36" spans="1:10" ht="24.95" customHeight="1" x14ac:dyDescent="0.25">
      <c r="A36" s="13"/>
      <c r="B36" s="107">
        <v>20</v>
      </c>
      <c r="C36" s="331" t="s">
        <v>595</v>
      </c>
      <c r="D36" s="332"/>
      <c r="E36" s="332"/>
      <c r="F36" s="333"/>
      <c r="G36" s="109"/>
      <c r="H36" s="15"/>
      <c r="I36" s="15"/>
      <c r="J36" s="16"/>
    </row>
    <row r="37" spans="1:10" ht="24.95" customHeight="1" x14ac:dyDescent="0.25">
      <c r="A37" s="13"/>
      <c r="B37" s="107">
        <v>21</v>
      </c>
      <c r="C37" s="326" t="s">
        <v>300</v>
      </c>
      <c r="D37" s="326"/>
      <c r="E37" s="326"/>
      <c r="F37" s="326"/>
      <c r="G37" s="109"/>
      <c r="H37" s="15"/>
      <c r="I37" s="15"/>
      <c r="J37" s="16"/>
    </row>
    <row r="38" spans="1:10" ht="24.95" customHeight="1" x14ac:dyDescent="0.25">
      <c r="A38" s="13"/>
      <c r="B38" s="107" t="s">
        <v>281</v>
      </c>
      <c r="C38" s="327" t="s">
        <v>281</v>
      </c>
      <c r="D38" s="327"/>
      <c r="E38" s="327"/>
      <c r="F38" s="327"/>
      <c r="G38" s="109"/>
      <c r="H38" s="15"/>
      <c r="I38" s="15"/>
      <c r="J38" s="16"/>
    </row>
    <row r="39" spans="1:10" ht="15" customHeight="1" thickBot="1" x14ac:dyDescent="0.25">
      <c r="A39" s="17"/>
      <c r="B39" s="108"/>
      <c r="C39" s="108"/>
      <c r="D39" s="108"/>
      <c r="E39" s="108"/>
      <c r="F39" s="108"/>
      <c r="G39" s="18"/>
      <c r="H39" s="18"/>
      <c r="I39" s="18"/>
      <c r="J39" s="19"/>
    </row>
    <row r="40" spans="1:10" ht="13.5" thickTop="1" x14ac:dyDescent="0.2"/>
  </sheetData>
  <sheetProtection password="E686" sheet="1" objects="1" scenarios="1"/>
  <mergeCells count="32">
    <mergeCell ref="C18:F18"/>
    <mergeCell ref="C23:F23"/>
    <mergeCell ref="A3:J3"/>
    <mergeCell ref="A8:J8"/>
    <mergeCell ref="A1:J1"/>
    <mergeCell ref="A2:J2"/>
    <mergeCell ref="C21:F21"/>
    <mergeCell ref="C16:F16"/>
    <mergeCell ref="C17:F17"/>
    <mergeCell ref="C19:F19"/>
    <mergeCell ref="C20:F20"/>
    <mergeCell ref="A4:J4"/>
    <mergeCell ref="A5:J5"/>
    <mergeCell ref="A7:J7"/>
    <mergeCell ref="C10:H12"/>
    <mergeCell ref="A6:J6"/>
    <mergeCell ref="C22:F22"/>
    <mergeCell ref="C24:F24"/>
    <mergeCell ref="C25:F25"/>
    <mergeCell ref="C26:F26"/>
    <mergeCell ref="C27:F27"/>
    <mergeCell ref="C28:F28"/>
    <mergeCell ref="C37:F37"/>
    <mergeCell ref="C38:F38"/>
    <mergeCell ref="C29:F29"/>
    <mergeCell ref="C30:F30"/>
    <mergeCell ref="C31:F31"/>
    <mergeCell ref="C32:F32"/>
    <mergeCell ref="C33:F33"/>
    <mergeCell ref="C34:F34"/>
    <mergeCell ref="C35:F35"/>
    <mergeCell ref="C36:F36"/>
  </mergeCells>
  <hyperlinks>
    <hyperlink ref="C16" location="'1'!A1" display="Cover Sheet"/>
    <hyperlink ref="C17" location="'2'!A1" display="ARRA Title I, Part A"/>
    <hyperlink ref="C20" location="'3'!A1" display="ARRA Title I, Part A Equitable Services"/>
    <hyperlink ref="C16:F16" location="'1'!A1" display="Applicant Information and Certification"/>
    <hyperlink ref="C17:F17" location="'2a'!A1" display="Intervention Strategies for Identified Schools"/>
    <hyperlink ref="C20:F20" location="'4'!A1" display="Title I, Part A Planning"/>
    <hyperlink ref="C21:F21" location="'5'!A1" display="Consolidated Schoolwide Program: Expenditure Summary"/>
    <hyperlink ref="C21" location="'5'!A1" display="ARRA IDEA 611 CEIS"/>
    <hyperlink ref="C22" location="'2'!A1" display="ARRA Title I, Part A"/>
    <hyperlink ref="C23" location="'3'!A1" display="ARRA Title I, Part A Equitable Services"/>
    <hyperlink ref="C24" location="'3'!A1" display="ARRA Title I, Part A Equitable Services"/>
    <hyperlink ref="C22:F22" location="'6'!A1" display="Consolidated Schoolwide Program: Expenditure Details"/>
    <hyperlink ref="C23:F23" location="'7'!A1" display="Consolidated Schoolwide Program: Budget"/>
    <hyperlink ref="C24:F24" location="'8'!A1" display="Title I, Part A (Unconsolidated): Expenditure Summary"/>
    <hyperlink ref="C26" location="'2'!A1" display="ARRA Title I, Part A"/>
    <hyperlink ref="C27" location="'3'!A1" display="ARRA Title I, Part A Equitable Services"/>
    <hyperlink ref="C28" location="'3'!A1" display="ARRA Title I, Part A Equitable Services"/>
    <hyperlink ref="C26:F26" location="'10'!A1" display="Title I, Part A (Unconsolidated): Budget"/>
    <hyperlink ref="C27:F27" location="'11'!A1" display="Title II, Part A (Unconsolidated): Planning"/>
    <hyperlink ref="C28:F28" location="'12'!A1" display="Title II, Part A (Unconsolidated): Expenditure Summary"/>
    <hyperlink ref="C38" location="'2'!A1" display="ARRA Title I, Part A"/>
    <hyperlink ref="C38:F38" location="Validation!A1" display="Validation"/>
    <hyperlink ref="C29" location="'3'!A1" display="ARRA Title I, Part A Equitable Services"/>
    <hyperlink ref="C30" location="'3'!A1" display="ARRA Title I, Part A Equitable Services"/>
    <hyperlink ref="C29:F29" location="'13'!A1" display="Title II, Part A (Unconsolidated): Expenditure Details"/>
    <hyperlink ref="C30:F30" location="'14'!A1" display="Title II, Part A (Unconsolidated): Budget"/>
    <hyperlink ref="C32" location="'2'!A1" display="ARRA Title I, Part A"/>
    <hyperlink ref="C33" location="'3'!A1" display="ARRA Title I, Part A Equitable Services"/>
    <hyperlink ref="C34" location="'3'!A1" display="ARRA Title I, Part A Equitable Services"/>
    <hyperlink ref="C32:F32" location="'16'!A1" display="Title III, Part A (Unconsolidated): Expenditure Summary"/>
    <hyperlink ref="C33:F33" location="'17'!A1" display="Title III, Part A (Unconsolidated): Expenditure Details"/>
    <hyperlink ref="C34:F34" location="'18'!A1" display="Title III, Part A (Unconsolidated): Budget"/>
    <hyperlink ref="C37" location="'2'!A1" display="ARRA Title I, Part A"/>
    <hyperlink ref="C37:F37" location="'20'!A1" display="Reference: Budget Definitions"/>
    <hyperlink ref="C35:F35" location="'19'!A1" display="Additional Assurances for DCPS Only"/>
    <hyperlink ref="C31:F31" location="'15'!A1" display="Title III, Part A (Unconsolidated): Planning"/>
    <hyperlink ref="C25:F25" location="'9'!A1" display="Title I, Part A (Unconsolidated): Expenditure Details"/>
    <hyperlink ref="C19:F19" location="'3'!A1" display="Consolidation of Funds in Schoolwide Program Pool"/>
    <hyperlink ref="C18" location="'2'!A1" display="ARRA Title I, Part A"/>
    <hyperlink ref="C18:F18" location="'2b'!A1" display="Required and Optional Title I Set-Asides/Reservations"/>
    <hyperlink ref="C36:F36" location="'20'!A1" display="Statewide Accountability Assurances"/>
  </hyperlinks>
  <pageMargins left="0.75" right="0.75" top="1" bottom="1" header="0.5" footer="0.5"/>
  <pageSetup scale="6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21"/>
  <sheetViews>
    <sheetView topLeftCell="A58" zoomScale="78" zoomScaleNormal="78" workbookViewId="0">
      <selection activeCell="A134" sqref="A134:J168"/>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498" t="s">
        <v>193</v>
      </c>
      <c r="B1" s="499"/>
      <c r="C1" s="499"/>
      <c r="D1" s="499"/>
      <c r="E1" s="499"/>
      <c r="F1" s="499"/>
      <c r="G1" s="499"/>
      <c r="H1" s="499"/>
      <c r="I1" s="499"/>
      <c r="J1" s="500"/>
    </row>
    <row r="2" spans="1:10" ht="12.75" customHeight="1" x14ac:dyDescent="0.2">
      <c r="A2" s="501"/>
      <c r="B2" s="502"/>
      <c r="C2" s="502"/>
      <c r="D2" s="502"/>
      <c r="E2" s="502"/>
      <c r="F2" s="502"/>
      <c r="G2" s="502"/>
      <c r="H2" s="502"/>
      <c r="I2" s="502"/>
      <c r="J2" s="503"/>
    </row>
    <row r="3" spans="1:10" ht="12.75" customHeight="1" x14ac:dyDescent="0.2">
      <c r="A3" s="673" t="s">
        <v>255</v>
      </c>
      <c r="B3" s="674"/>
      <c r="C3" s="674"/>
      <c r="D3" s="674"/>
      <c r="E3" s="674"/>
      <c r="F3" s="674"/>
      <c r="G3" s="674"/>
      <c r="H3" s="674"/>
      <c r="I3" s="674"/>
      <c r="J3" s="675"/>
    </row>
    <row r="4" spans="1:10" ht="12.75" customHeight="1" x14ac:dyDescent="0.2">
      <c r="A4" s="705"/>
      <c r="B4" s="706"/>
      <c r="C4" s="706"/>
      <c r="D4" s="706"/>
      <c r="E4" s="706"/>
      <c r="F4" s="706"/>
      <c r="G4" s="706"/>
      <c r="H4" s="706"/>
      <c r="I4" s="706"/>
      <c r="J4" s="707"/>
    </row>
    <row r="5" spans="1:10" ht="12.75" customHeight="1" x14ac:dyDescent="0.2">
      <c r="A5" s="676"/>
      <c r="B5" s="677"/>
      <c r="C5" s="677"/>
      <c r="D5" s="677"/>
      <c r="E5" s="677"/>
      <c r="F5" s="677"/>
      <c r="G5" s="677"/>
      <c r="H5" s="677"/>
      <c r="I5" s="677"/>
      <c r="J5" s="678"/>
    </row>
    <row r="6" spans="1:10" ht="12.75" customHeight="1" x14ac:dyDescent="0.2">
      <c r="A6" s="708" t="s">
        <v>254</v>
      </c>
      <c r="B6" s="709"/>
      <c r="C6" s="709"/>
      <c r="D6" s="709"/>
      <c r="E6" s="709"/>
      <c r="F6" s="709"/>
      <c r="G6" s="709"/>
      <c r="H6" s="709"/>
      <c r="I6" s="709"/>
      <c r="J6" s="710"/>
    </row>
    <row r="7" spans="1:10" ht="12.75" customHeight="1" x14ac:dyDescent="0.2">
      <c r="A7" s="711"/>
      <c r="B7" s="712"/>
      <c r="C7" s="712"/>
      <c r="D7" s="712"/>
      <c r="E7" s="712"/>
      <c r="F7" s="712"/>
      <c r="G7" s="712"/>
      <c r="H7" s="712"/>
      <c r="I7" s="712"/>
      <c r="J7" s="713"/>
    </row>
    <row r="8" spans="1:10" ht="12.75" customHeight="1" x14ac:dyDescent="0.2">
      <c r="A8" s="711"/>
      <c r="B8" s="712"/>
      <c r="C8" s="712"/>
      <c r="D8" s="712"/>
      <c r="E8" s="712"/>
      <c r="F8" s="712"/>
      <c r="G8" s="712"/>
      <c r="H8" s="712"/>
      <c r="I8" s="712"/>
      <c r="J8" s="713"/>
    </row>
    <row r="9" spans="1:10" ht="12.75" customHeight="1" x14ac:dyDescent="0.2">
      <c r="A9" s="711"/>
      <c r="B9" s="712"/>
      <c r="C9" s="712"/>
      <c r="D9" s="712"/>
      <c r="E9" s="712"/>
      <c r="F9" s="712"/>
      <c r="G9" s="712"/>
      <c r="H9" s="712"/>
      <c r="I9" s="712"/>
      <c r="J9" s="713"/>
    </row>
    <row r="10" spans="1:10" ht="12.75" customHeight="1" x14ac:dyDescent="0.2">
      <c r="A10" s="711"/>
      <c r="B10" s="712"/>
      <c r="C10" s="712"/>
      <c r="D10" s="712"/>
      <c r="E10" s="712"/>
      <c r="F10" s="712"/>
      <c r="G10" s="712"/>
      <c r="H10" s="712"/>
      <c r="I10" s="712"/>
      <c r="J10" s="713"/>
    </row>
    <row r="11" spans="1:10" ht="12.75" customHeight="1" x14ac:dyDescent="0.2">
      <c r="A11" s="711"/>
      <c r="B11" s="712"/>
      <c r="C11" s="712"/>
      <c r="D11" s="712"/>
      <c r="E11" s="712"/>
      <c r="F11" s="712"/>
      <c r="G11" s="712"/>
      <c r="H11" s="712"/>
      <c r="I11" s="712"/>
      <c r="J11" s="713"/>
    </row>
    <row r="12" spans="1:10" ht="12.75" customHeight="1" x14ac:dyDescent="0.2">
      <c r="A12" s="762" t="s">
        <v>505</v>
      </c>
      <c r="B12" s="763"/>
      <c r="C12" s="763"/>
      <c r="D12" s="763"/>
      <c r="E12" s="763"/>
      <c r="F12" s="763"/>
      <c r="G12" s="763"/>
      <c r="H12" s="763"/>
      <c r="I12" s="763"/>
      <c r="J12" s="764"/>
    </row>
    <row r="13" spans="1:10" ht="12.75" customHeight="1" x14ac:dyDescent="0.2">
      <c r="A13" s="762"/>
      <c r="B13" s="763"/>
      <c r="C13" s="763"/>
      <c r="D13" s="763"/>
      <c r="E13" s="763"/>
      <c r="F13" s="763"/>
      <c r="G13" s="763"/>
      <c r="H13" s="763"/>
      <c r="I13" s="763"/>
      <c r="J13" s="764"/>
    </row>
    <row r="14" spans="1:10" ht="12.75" customHeight="1" x14ac:dyDescent="0.2">
      <c r="A14" s="762"/>
      <c r="B14" s="763"/>
      <c r="C14" s="763"/>
      <c r="D14" s="763"/>
      <c r="E14" s="763"/>
      <c r="F14" s="763"/>
      <c r="G14" s="763"/>
      <c r="H14" s="763"/>
      <c r="I14" s="763"/>
      <c r="J14" s="764"/>
    </row>
    <row r="15" spans="1:10" ht="12.75" customHeight="1" x14ac:dyDescent="0.2">
      <c r="A15" s="762"/>
      <c r="B15" s="763"/>
      <c r="C15" s="763"/>
      <c r="D15" s="763"/>
      <c r="E15" s="763"/>
      <c r="F15" s="763"/>
      <c r="G15" s="763"/>
      <c r="H15" s="763"/>
      <c r="I15" s="763"/>
      <c r="J15" s="764"/>
    </row>
    <row r="16" spans="1:10" ht="12.75" customHeight="1" x14ac:dyDescent="0.2">
      <c r="A16" s="762"/>
      <c r="B16" s="763"/>
      <c r="C16" s="763"/>
      <c r="D16" s="763"/>
      <c r="E16" s="763"/>
      <c r="F16" s="763"/>
      <c r="G16" s="763"/>
      <c r="H16" s="763"/>
      <c r="I16" s="763"/>
      <c r="J16" s="764"/>
    </row>
    <row r="17" spans="1:10" ht="12.75" customHeight="1" x14ac:dyDescent="0.2">
      <c r="A17" s="66"/>
      <c r="B17" s="67"/>
      <c r="C17" s="67"/>
      <c r="D17" s="67"/>
      <c r="E17" s="67"/>
      <c r="F17" s="67"/>
      <c r="G17" s="67"/>
      <c r="H17" s="67"/>
      <c r="I17" s="67"/>
      <c r="J17" s="68"/>
    </row>
    <row r="18" spans="1:10" ht="12.75" customHeight="1" x14ac:dyDescent="0.2">
      <c r="A18" s="762" t="s">
        <v>503</v>
      </c>
      <c r="B18" s="763"/>
      <c r="C18" s="763"/>
      <c r="D18" s="763"/>
      <c r="E18" s="763"/>
      <c r="F18" s="763"/>
      <c r="G18" s="763"/>
      <c r="H18" s="763"/>
      <c r="I18" s="763"/>
      <c r="J18" s="764"/>
    </row>
    <row r="19" spans="1:10" ht="12.75" customHeight="1" x14ac:dyDescent="0.2">
      <c r="A19" s="66"/>
      <c r="B19" s="67"/>
      <c r="C19" s="67"/>
      <c r="D19" s="67"/>
      <c r="E19" s="67"/>
      <c r="F19" s="67"/>
      <c r="G19" s="67"/>
      <c r="H19" s="67"/>
      <c r="I19" s="67"/>
      <c r="J19" s="68"/>
    </row>
    <row r="20" spans="1:10" s="61" customFormat="1" x14ac:dyDescent="0.2">
      <c r="A20" s="55"/>
      <c r="B20" s="56"/>
      <c r="C20" s="57"/>
      <c r="D20" s="58"/>
      <c r="E20" s="58"/>
      <c r="F20" s="58"/>
      <c r="G20" s="58"/>
      <c r="H20" s="59"/>
      <c r="I20" s="57"/>
      <c r="J20" s="60"/>
    </row>
    <row r="21" spans="1:10" s="61" customFormat="1" ht="25.5" customHeight="1" x14ac:dyDescent="0.2">
      <c r="A21" s="751" t="s">
        <v>194</v>
      </c>
      <c r="B21" s="752"/>
      <c r="C21" s="752"/>
      <c r="D21" s="752"/>
      <c r="E21" s="752"/>
      <c r="F21" s="753" t="s">
        <v>743</v>
      </c>
      <c r="G21" s="754"/>
      <c r="H21" s="754"/>
      <c r="I21" s="754"/>
      <c r="J21" s="755"/>
    </row>
    <row r="22" spans="1:10" s="61" customFormat="1" ht="12.75" customHeight="1" x14ac:dyDescent="0.2">
      <c r="A22" s="475" t="s">
        <v>301</v>
      </c>
      <c r="B22" s="476"/>
      <c r="C22" s="476"/>
      <c r="D22" s="476"/>
      <c r="E22" s="476"/>
      <c r="F22" s="746">
        <v>8.5199999999999998E-2</v>
      </c>
      <c r="G22" s="746"/>
      <c r="H22" s="746"/>
      <c r="I22" s="746"/>
      <c r="J22" s="747"/>
    </row>
    <row r="23" spans="1:10" ht="12.75" customHeight="1" x14ac:dyDescent="0.2">
      <c r="A23" s="721" t="s">
        <v>368</v>
      </c>
      <c r="B23" s="722"/>
      <c r="C23" s="722"/>
      <c r="D23" s="722"/>
      <c r="E23" s="722"/>
      <c r="F23" s="722"/>
      <c r="G23" s="722"/>
      <c r="H23" s="722"/>
      <c r="I23" s="722"/>
      <c r="J23" s="723"/>
    </row>
    <row r="24" spans="1:10" ht="12.75" customHeight="1" x14ac:dyDescent="0.2">
      <c r="A24" s="724"/>
      <c r="B24" s="725"/>
      <c r="C24" s="725"/>
      <c r="D24" s="725"/>
      <c r="E24" s="725"/>
      <c r="F24" s="725"/>
      <c r="G24" s="725"/>
      <c r="H24" s="725"/>
      <c r="I24" s="725"/>
      <c r="J24" s="726"/>
    </row>
    <row r="25" spans="1:10" ht="12.75" customHeight="1" x14ac:dyDescent="0.2">
      <c r="A25" s="724"/>
      <c r="B25" s="725"/>
      <c r="C25" s="725"/>
      <c r="D25" s="725"/>
      <c r="E25" s="725"/>
      <c r="F25" s="725"/>
      <c r="G25" s="725"/>
      <c r="H25" s="725"/>
      <c r="I25" s="725"/>
      <c r="J25" s="726"/>
    </row>
    <row r="26" spans="1:10" ht="15" customHeight="1" x14ac:dyDescent="0.2">
      <c r="A26" s="727"/>
      <c r="B26" s="728"/>
      <c r="C26" s="728"/>
      <c r="D26" s="728"/>
      <c r="E26" s="728"/>
      <c r="F26" s="728"/>
      <c r="G26" s="728"/>
      <c r="H26" s="728"/>
      <c r="I26" s="728"/>
      <c r="J26" s="729"/>
    </row>
    <row r="27" spans="1:10" ht="12.75" customHeight="1" x14ac:dyDescent="0.2">
      <c r="A27" s="742" t="s">
        <v>1101</v>
      </c>
      <c r="B27" s="743"/>
      <c r="C27" s="743"/>
      <c r="D27" s="743"/>
      <c r="E27" s="743"/>
      <c r="F27" s="743"/>
      <c r="G27" s="743"/>
      <c r="H27" s="743"/>
      <c r="I27" s="743"/>
      <c r="J27" s="744"/>
    </row>
    <row r="28" spans="1:10" ht="12.75" customHeight="1" x14ac:dyDescent="0.2">
      <c r="A28" s="742"/>
      <c r="B28" s="743"/>
      <c r="C28" s="743"/>
      <c r="D28" s="743"/>
      <c r="E28" s="743"/>
      <c r="F28" s="743"/>
      <c r="G28" s="743"/>
      <c r="H28" s="743"/>
      <c r="I28" s="743"/>
      <c r="J28" s="744"/>
    </row>
    <row r="29" spans="1:10" ht="12.75" customHeight="1" x14ac:dyDescent="0.2">
      <c r="A29" s="742"/>
      <c r="B29" s="743"/>
      <c r="C29" s="743"/>
      <c r="D29" s="743"/>
      <c r="E29" s="743"/>
      <c r="F29" s="743"/>
      <c r="G29" s="743"/>
      <c r="H29" s="743"/>
      <c r="I29" s="743"/>
      <c r="J29" s="744"/>
    </row>
    <row r="30" spans="1:10" ht="12.75" customHeight="1" x14ac:dyDescent="0.2">
      <c r="A30" s="742"/>
      <c r="B30" s="743"/>
      <c r="C30" s="743"/>
      <c r="D30" s="743"/>
      <c r="E30" s="743"/>
      <c r="F30" s="743"/>
      <c r="G30" s="743"/>
      <c r="H30" s="743"/>
      <c r="I30" s="743"/>
      <c r="J30" s="744"/>
    </row>
    <row r="31" spans="1:10" ht="12.75" customHeight="1" x14ac:dyDescent="0.2">
      <c r="A31" s="742"/>
      <c r="B31" s="743"/>
      <c r="C31" s="743"/>
      <c r="D31" s="743"/>
      <c r="E31" s="743"/>
      <c r="F31" s="743"/>
      <c r="G31" s="743"/>
      <c r="H31" s="743"/>
      <c r="I31" s="743"/>
      <c r="J31" s="744"/>
    </row>
    <row r="32" spans="1:10" ht="12.75" customHeight="1" x14ac:dyDescent="0.2">
      <c r="A32" s="742"/>
      <c r="B32" s="743"/>
      <c r="C32" s="743"/>
      <c r="D32" s="743"/>
      <c r="E32" s="743"/>
      <c r="F32" s="743"/>
      <c r="G32" s="743"/>
      <c r="H32" s="743"/>
      <c r="I32" s="743"/>
      <c r="J32" s="744"/>
    </row>
    <row r="33" spans="1:10" ht="12.75" customHeight="1" x14ac:dyDescent="0.2">
      <c r="A33" s="742"/>
      <c r="B33" s="743"/>
      <c r="C33" s="743"/>
      <c r="D33" s="743"/>
      <c r="E33" s="743"/>
      <c r="F33" s="743"/>
      <c r="G33" s="743"/>
      <c r="H33" s="743"/>
      <c r="I33" s="743"/>
      <c r="J33" s="744"/>
    </row>
    <row r="34" spans="1:10" ht="12.75" customHeight="1" x14ac:dyDescent="0.2">
      <c r="A34" s="742"/>
      <c r="B34" s="743"/>
      <c r="C34" s="743"/>
      <c r="D34" s="743"/>
      <c r="E34" s="743"/>
      <c r="F34" s="743"/>
      <c r="G34" s="743"/>
      <c r="H34" s="743"/>
      <c r="I34" s="743"/>
      <c r="J34" s="744"/>
    </row>
    <row r="35" spans="1:10" ht="12.75" customHeight="1" x14ac:dyDescent="0.2">
      <c r="A35" s="742"/>
      <c r="B35" s="743"/>
      <c r="C35" s="743"/>
      <c r="D35" s="743"/>
      <c r="E35" s="743"/>
      <c r="F35" s="743"/>
      <c r="G35" s="743"/>
      <c r="H35" s="743"/>
      <c r="I35" s="743"/>
      <c r="J35" s="744"/>
    </row>
    <row r="36" spans="1:10" ht="12.75" customHeight="1" x14ac:dyDescent="0.2">
      <c r="A36" s="742"/>
      <c r="B36" s="743"/>
      <c r="C36" s="743"/>
      <c r="D36" s="743"/>
      <c r="E36" s="743"/>
      <c r="F36" s="743"/>
      <c r="G36" s="743"/>
      <c r="H36" s="743"/>
      <c r="I36" s="743"/>
      <c r="J36" s="744"/>
    </row>
    <row r="37" spans="1:10" ht="12.75" customHeight="1" x14ac:dyDescent="0.2">
      <c r="A37" s="742"/>
      <c r="B37" s="743"/>
      <c r="C37" s="743"/>
      <c r="D37" s="743"/>
      <c r="E37" s="743"/>
      <c r="F37" s="743"/>
      <c r="G37" s="743"/>
      <c r="H37" s="743"/>
      <c r="I37" s="743"/>
      <c r="J37" s="744"/>
    </row>
    <row r="38" spans="1:10" ht="12.75" customHeight="1" x14ac:dyDescent="0.2">
      <c r="A38" s="742"/>
      <c r="B38" s="743"/>
      <c r="C38" s="743"/>
      <c r="D38" s="743"/>
      <c r="E38" s="743"/>
      <c r="F38" s="743"/>
      <c r="G38" s="743"/>
      <c r="H38" s="743"/>
      <c r="I38" s="743"/>
      <c r="J38" s="744"/>
    </row>
    <row r="39" spans="1:10" ht="12.75" customHeight="1" x14ac:dyDescent="0.2">
      <c r="A39" s="742"/>
      <c r="B39" s="743"/>
      <c r="C39" s="743"/>
      <c r="D39" s="743"/>
      <c r="E39" s="743"/>
      <c r="F39" s="743"/>
      <c r="G39" s="743"/>
      <c r="H39" s="743"/>
      <c r="I39" s="743"/>
      <c r="J39" s="744"/>
    </row>
    <row r="40" spans="1:10" ht="12.75" customHeight="1" x14ac:dyDescent="0.2">
      <c r="A40" s="742"/>
      <c r="B40" s="743"/>
      <c r="C40" s="743"/>
      <c r="D40" s="743"/>
      <c r="E40" s="743"/>
      <c r="F40" s="743"/>
      <c r="G40" s="743"/>
      <c r="H40" s="743"/>
      <c r="I40" s="743"/>
      <c r="J40" s="744"/>
    </row>
    <row r="41" spans="1:10" ht="12.75" customHeight="1" x14ac:dyDescent="0.2">
      <c r="A41" s="742"/>
      <c r="B41" s="743"/>
      <c r="C41" s="743"/>
      <c r="D41" s="743"/>
      <c r="E41" s="743"/>
      <c r="F41" s="743"/>
      <c r="G41" s="743"/>
      <c r="H41" s="743"/>
      <c r="I41" s="743"/>
      <c r="J41" s="744"/>
    </row>
    <row r="42" spans="1:10" ht="12.75" customHeight="1" x14ac:dyDescent="0.2">
      <c r="A42" s="742"/>
      <c r="B42" s="743"/>
      <c r="C42" s="743"/>
      <c r="D42" s="743"/>
      <c r="E42" s="743"/>
      <c r="F42" s="743"/>
      <c r="G42" s="743"/>
      <c r="H42" s="743"/>
      <c r="I42" s="743"/>
      <c r="J42" s="744"/>
    </row>
    <row r="43" spans="1:10" s="61" customFormat="1" x14ac:dyDescent="0.2">
      <c r="A43" s="55"/>
      <c r="B43" s="56"/>
      <c r="C43" s="57"/>
      <c r="D43" s="58"/>
      <c r="E43" s="58"/>
      <c r="F43" s="58"/>
      <c r="G43" s="58"/>
      <c r="H43" s="59"/>
      <c r="I43" s="57"/>
      <c r="J43" s="60"/>
    </row>
    <row r="44" spans="1:10" s="61" customFormat="1" ht="25.5" customHeight="1" x14ac:dyDescent="0.2">
      <c r="A44" s="751" t="s">
        <v>203</v>
      </c>
      <c r="B44" s="752"/>
      <c r="C44" s="752"/>
      <c r="D44" s="752"/>
      <c r="E44" s="752"/>
      <c r="F44" s="753" t="s">
        <v>744</v>
      </c>
      <c r="G44" s="754"/>
      <c r="H44" s="754"/>
      <c r="I44" s="754"/>
      <c r="J44" s="755"/>
    </row>
    <row r="45" spans="1:10" s="61" customFormat="1" ht="12.75" customHeight="1" x14ac:dyDescent="0.2">
      <c r="A45" s="475" t="s">
        <v>301</v>
      </c>
      <c r="B45" s="476"/>
      <c r="C45" s="476"/>
      <c r="D45" s="476"/>
      <c r="E45" s="476"/>
      <c r="F45" s="875">
        <v>0.38200000000000001</v>
      </c>
      <c r="G45" s="876"/>
      <c r="H45" s="876"/>
      <c r="I45" s="876"/>
      <c r="J45" s="877"/>
    </row>
    <row r="46" spans="1:10" ht="12.75" customHeight="1" x14ac:dyDescent="0.2">
      <c r="A46" s="721" t="s">
        <v>368</v>
      </c>
      <c r="B46" s="722"/>
      <c r="C46" s="722"/>
      <c r="D46" s="722"/>
      <c r="E46" s="722"/>
      <c r="F46" s="722"/>
      <c r="G46" s="722"/>
      <c r="H46" s="722"/>
      <c r="I46" s="722"/>
      <c r="J46" s="723"/>
    </row>
    <row r="47" spans="1:10" ht="12.75" customHeight="1" x14ac:dyDescent="0.2">
      <c r="A47" s="724"/>
      <c r="B47" s="725"/>
      <c r="C47" s="725"/>
      <c r="D47" s="725"/>
      <c r="E47" s="725"/>
      <c r="F47" s="725"/>
      <c r="G47" s="725"/>
      <c r="H47" s="725"/>
      <c r="I47" s="725"/>
      <c r="J47" s="726"/>
    </row>
    <row r="48" spans="1:10" ht="12.75" customHeight="1" x14ac:dyDescent="0.2">
      <c r="A48" s="724"/>
      <c r="B48" s="725"/>
      <c r="C48" s="725"/>
      <c r="D48" s="725"/>
      <c r="E48" s="725"/>
      <c r="F48" s="725"/>
      <c r="G48" s="725"/>
      <c r="H48" s="725"/>
      <c r="I48" s="725"/>
      <c r="J48" s="726"/>
    </row>
    <row r="49" spans="1:10" ht="15" customHeight="1" x14ac:dyDescent="0.2">
      <c r="A49" s="727"/>
      <c r="B49" s="728"/>
      <c r="C49" s="728"/>
      <c r="D49" s="728"/>
      <c r="E49" s="728"/>
      <c r="F49" s="728"/>
      <c r="G49" s="728"/>
      <c r="H49" s="728"/>
      <c r="I49" s="728"/>
      <c r="J49" s="729"/>
    </row>
    <row r="50" spans="1:10" ht="12.75" customHeight="1" x14ac:dyDescent="0.2">
      <c r="A50" s="742" t="s">
        <v>1098</v>
      </c>
      <c r="B50" s="743"/>
      <c r="C50" s="743"/>
      <c r="D50" s="743"/>
      <c r="E50" s="743"/>
      <c r="F50" s="743"/>
      <c r="G50" s="743"/>
      <c r="H50" s="743"/>
      <c r="I50" s="743"/>
      <c r="J50" s="744"/>
    </row>
    <row r="51" spans="1:10" ht="12.75" customHeight="1" x14ac:dyDescent="0.2">
      <c r="A51" s="742"/>
      <c r="B51" s="743"/>
      <c r="C51" s="743"/>
      <c r="D51" s="743"/>
      <c r="E51" s="743"/>
      <c r="F51" s="743"/>
      <c r="G51" s="743"/>
      <c r="H51" s="743"/>
      <c r="I51" s="743"/>
      <c r="J51" s="744"/>
    </row>
    <row r="52" spans="1:10" ht="12.75" customHeight="1" x14ac:dyDescent="0.2">
      <c r="A52" s="742"/>
      <c r="B52" s="743"/>
      <c r="C52" s="743"/>
      <c r="D52" s="743"/>
      <c r="E52" s="743"/>
      <c r="F52" s="743"/>
      <c r="G52" s="743"/>
      <c r="H52" s="743"/>
      <c r="I52" s="743"/>
      <c r="J52" s="744"/>
    </row>
    <row r="53" spans="1:10" ht="12.75" customHeight="1" x14ac:dyDescent="0.2">
      <c r="A53" s="742"/>
      <c r="B53" s="743"/>
      <c r="C53" s="743"/>
      <c r="D53" s="743"/>
      <c r="E53" s="743"/>
      <c r="F53" s="743"/>
      <c r="G53" s="743"/>
      <c r="H53" s="743"/>
      <c r="I53" s="743"/>
      <c r="J53" s="744"/>
    </row>
    <row r="54" spans="1:10" ht="12.75" customHeight="1" x14ac:dyDescent="0.2">
      <c r="A54" s="742"/>
      <c r="B54" s="743"/>
      <c r="C54" s="743"/>
      <c r="D54" s="743"/>
      <c r="E54" s="743"/>
      <c r="F54" s="743"/>
      <c r="G54" s="743"/>
      <c r="H54" s="743"/>
      <c r="I54" s="743"/>
      <c r="J54" s="744"/>
    </row>
    <row r="55" spans="1:10" ht="12.75" customHeight="1" x14ac:dyDescent="0.2">
      <c r="A55" s="742"/>
      <c r="B55" s="743"/>
      <c r="C55" s="743"/>
      <c r="D55" s="743"/>
      <c r="E55" s="743"/>
      <c r="F55" s="743"/>
      <c r="G55" s="743"/>
      <c r="H55" s="743"/>
      <c r="I55" s="743"/>
      <c r="J55" s="744"/>
    </row>
    <row r="56" spans="1:10" ht="12.75" customHeight="1" x14ac:dyDescent="0.2">
      <c r="A56" s="742"/>
      <c r="B56" s="743"/>
      <c r="C56" s="743"/>
      <c r="D56" s="743"/>
      <c r="E56" s="743"/>
      <c r="F56" s="743"/>
      <c r="G56" s="743"/>
      <c r="H56" s="743"/>
      <c r="I56" s="743"/>
      <c r="J56" s="744"/>
    </row>
    <row r="57" spans="1:10" ht="12.75" customHeight="1" x14ac:dyDescent="0.2">
      <c r="A57" s="742"/>
      <c r="B57" s="743"/>
      <c r="C57" s="743"/>
      <c r="D57" s="743"/>
      <c r="E57" s="743"/>
      <c r="F57" s="743"/>
      <c r="G57" s="743"/>
      <c r="H57" s="743"/>
      <c r="I57" s="743"/>
      <c r="J57" s="744"/>
    </row>
    <row r="58" spans="1:10" ht="12.75" customHeight="1" x14ac:dyDescent="0.2">
      <c r="A58" s="742"/>
      <c r="B58" s="743"/>
      <c r="C58" s="743"/>
      <c r="D58" s="743"/>
      <c r="E58" s="743"/>
      <c r="F58" s="743"/>
      <c r="G58" s="743"/>
      <c r="H58" s="743"/>
      <c r="I58" s="743"/>
      <c r="J58" s="744"/>
    </row>
    <row r="59" spans="1:10" ht="12.75" customHeight="1" x14ac:dyDescent="0.2">
      <c r="A59" s="742"/>
      <c r="B59" s="743"/>
      <c r="C59" s="743"/>
      <c r="D59" s="743"/>
      <c r="E59" s="743"/>
      <c r="F59" s="743"/>
      <c r="G59" s="743"/>
      <c r="H59" s="743"/>
      <c r="I59" s="743"/>
      <c r="J59" s="744"/>
    </row>
    <row r="60" spans="1:10" ht="12.75" customHeight="1" x14ac:dyDescent="0.2">
      <c r="A60" s="742"/>
      <c r="B60" s="743"/>
      <c r="C60" s="743"/>
      <c r="D60" s="743"/>
      <c r="E60" s="743"/>
      <c r="F60" s="743"/>
      <c r="G60" s="743"/>
      <c r="H60" s="743"/>
      <c r="I60" s="743"/>
      <c r="J60" s="744"/>
    </row>
    <row r="61" spans="1:10" ht="12.75" customHeight="1" x14ac:dyDescent="0.2">
      <c r="A61" s="742"/>
      <c r="B61" s="743"/>
      <c r="C61" s="743"/>
      <c r="D61" s="743"/>
      <c r="E61" s="743"/>
      <c r="F61" s="743"/>
      <c r="G61" s="743"/>
      <c r="H61" s="743"/>
      <c r="I61" s="743"/>
      <c r="J61" s="744"/>
    </row>
    <row r="62" spans="1:10" ht="12.75" customHeight="1" x14ac:dyDescent="0.2">
      <c r="A62" s="742"/>
      <c r="B62" s="743"/>
      <c r="C62" s="743"/>
      <c r="D62" s="743"/>
      <c r="E62" s="743"/>
      <c r="F62" s="743"/>
      <c r="G62" s="743"/>
      <c r="H62" s="743"/>
      <c r="I62" s="743"/>
      <c r="J62" s="744"/>
    </row>
    <row r="63" spans="1:10" ht="12.75" customHeight="1" x14ac:dyDescent="0.2">
      <c r="A63" s="742"/>
      <c r="B63" s="743"/>
      <c r="C63" s="743"/>
      <c r="D63" s="743"/>
      <c r="E63" s="743"/>
      <c r="F63" s="743"/>
      <c r="G63" s="743"/>
      <c r="H63" s="743"/>
      <c r="I63" s="743"/>
      <c r="J63" s="744"/>
    </row>
    <row r="64" spans="1:10" ht="12.75" customHeight="1" x14ac:dyDescent="0.2">
      <c r="A64" s="742"/>
      <c r="B64" s="743"/>
      <c r="C64" s="743"/>
      <c r="D64" s="743"/>
      <c r="E64" s="743"/>
      <c r="F64" s="743"/>
      <c r="G64" s="743"/>
      <c r="H64" s="743"/>
      <c r="I64" s="743"/>
      <c r="J64" s="744"/>
    </row>
    <row r="65" spans="1:10" ht="12.75" customHeight="1" x14ac:dyDescent="0.2">
      <c r="A65" s="742"/>
      <c r="B65" s="743"/>
      <c r="C65" s="743"/>
      <c r="D65" s="743"/>
      <c r="E65" s="743"/>
      <c r="F65" s="743"/>
      <c r="G65" s="743"/>
      <c r="H65" s="743"/>
      <c r="I65" s="743"/>
      <c r="J65" s="744"/>
    </row>
    <row r="66" spans="1:10" ht="12.75" customHeight="1" x14ac:dyDescent="0.2">
      <c r="A66" s="742"/>
      <c r="B66" s="743"/>
      <c r="C66" s="743"/>
      <c r="D66" s="743"/>
      <c r="E66" s="743"/>
      <c r="F66" s="743"/>
      <c r="G66" s="743"/>
      <c r="H66" s="743"/>
      <c r="I66" s="743"/>
      <c r="J66" s="744"/>
    </row>
    <row r="67" spans="1:10" ht="12.75" customHeight="1" x14ac:dyDescent="0.2">
      <c r="A67" s="742"/>
      <c r="B67" s="743"/>
      <c r="C67" s="743"/>
      <c r="D67" s="743"/>
      <c r="E67" s="743"/>
      <c r="F67" s="743"/>
      <c r="G67" s="743"/>
      <c r="H67" s="743"/>
      <c r="I67" s="743"/>
      <c r="J67" s="744"/>
    </row>
    <row r="68" spans="1:10" ht="12.75" customHeight="1" x14ac:dyDescent="0.2">
      <c r="A68" s="742"/>
      <c r="B68" s="743"/>
      <c r="C68" s="743"/>
      <c r="D68" s="743"/>
      <c r="E68" s="743"/>
      <c r="F68" s="743"/>
      <c r="G68" s="743"/>
      <c r="H68" s="743"/>
      <c r="I68" s="743"/>
      <c r="J68" s="744"/>
    </row>
    <row r="69" spans="1:10" ht="12.75" customHeight="1" x14ac:dyDescent="0.2">
      <c r="A69" s="742"/>
      <c r="B69" s="743"/>
      <c r="C69" s="743"/>
      <c r="D69" s="743"/>
      <c r="E69" s="743"/>
      <c r="F69" s="743"/>
      <c r="G69" s="743"/>
      <c r="H69" s="743"/>
      <c r="I69" s="743"/>
      <c r="J69" s="744"/>
    </row>
    <row r="70" spans="1:10" ht="12.75" customHeight="1" x14ac:dyDescent="0.2">
      <c r="A70" s="742"/>
      <c r="B70" s="743"/>
      <c r="C70" s="743"/>
      <c r="D70" s="743"/>
      <c r="E70" s="743"/>
      <c r="F70" s="743"/>
      <c r="G70" s="743"/>
      <c r="H70" s="743"/>
      <c r="I70" s="743"/>
      <c r="J70" s="744"/>
    </row>
    <row r="71" spans="1:10" ht="12.75" customHeight="1" x14ac:dyDescent="0.2">
      <c r="A71" s="742"/>
      <c r="B71" s="743"/>
      <c r="C71" s="743"/>
      <c r="D71" s="743"/>
      <c r="E71" s="743"/>
      <c r="F71" s="743"/>
      <c r="G71" s="743"/>
      <c r="H71" s="743"/>
      <c r="I71" s="743"/>
      <c r="J71" s="744"/>
    </row>
    <row r="72" spans="1:10" ht="12.75" customHeight="1" x14ac:dyDescent="0.2">
      <c r="A72" s="742"/>
      <c r="B72" s="743"/>
      <c r="C72" s="743"/>
      <c r="D72" s="743"/>
      <c r="E72" s="743"/>
      <c r="F72" s="743"/>
      <c r="G72" s="743"/>
      <c r="H72" s="743"/>
      <c r="I72" s="743"/>
      <c r="J72" s="744"/>
    </row>
    <row r="73" spans="1:10" ht="12.75" customHeight="1" x14ac:dyDescent="0.2">
      <c r="A73" s="742"/>
      <c r="B73" s="743"/>
      <c r="C73" s="743"/>
      <c r="D73" s="743"/>
      <c r="E73" s="743"/>
      <c r="F73" s="743"/>
      <c r="G73" s="743"/>
      <c r="H73" s="743"/>
      <c r="I73" s="743"/>
      <c r="J73" s="744"/>
    </row>
    <row r="74" spans="1:10" ht="12.75" customHeight="1" x14ac:dyDescent="0.2">
      <c r="A74" s="742"/>
      <c r="B74" s="743"/>
      <c r="C74" s="743"/>
      <c r="D74" s="743"/>
      <c r="E74" s="743"/>
      <c r="F74" s="743"/>
      <c r="G74" s="743"/>
      <c r="H74" s="743"/>
      <c r="I74" s="743"/>
      <c r="J74" s="744"/>
    </row>
    <row r="75" spans="1:10" ht="12.75" customHeight="1" x14ac:dyDescent="0.2">
      <c r="A75" s="742"/>
      <c r="B75" s="743"/>
      <c r="C75" s="743"/>
      <c r="D75" s="743"/>
      <c r="E75" s="743"/>
      <c r="F75" s="743"/>
      <c r="G75" s="743"/>
      <c r="H75" s="743"/>
      <c r="I75" s="743"/>
      <c r="J75" s="744"/>
    </row>
    <row r="76" spans="1:10" ht="12.75" customHeight="1" x14ac:dyDescent="0.2">
      <c r="A76" s="742"/>
      <c r="B76" s="743"/>
      <c r="C76" s="743"/>
      <c r="D76" s="743"/>
      <c r="E76" s="743"/>
      <c r="F76" s="743"/>
      <c r="G76" s="743"/>
      <c r="H76" s="743"/>
      <c r="I76" s="743"/>
      <c r="J76" s="744"/>
    </row>
    <row r="77" spans="1:10" ht="12.75" customHeight="1" x14ac:dyDescent="0.2">
      <c r="A77" s="742"/>
      <c r="B77" s="743"/>
      <c r="C77" s="743"/>
      <c r="D77" s="743"/>
      <c r="E77" s="743"/>
      <c r="F77" s="743"/>
      <c r="G77" s="743"/>
      <c r="H77" s="743"/>
      <c r="I77" s="743"/>
      <c r="J77" s="744"/>
    </row>
    <row r="78" spans="1:10" ht="12.75" customHeight="1" x14ac:dyDescent="0.2">
      <c r="A78" s="742"/>
      <c r="B78" s="743"/>
      <c r="C78" s="743"/>
      <c r="D78" s="743"/>
      <c r="E78" s="743"/>
      <c r="F78" s="743"/>
      <c r="G78" s="743"/>
      <c r="H78" s="743"/>
      <c r="I78" s="743"/>
      <c r="J78" s="744"/>
    </row>
    <row r="79" spans="1:10" ht="12.75" customHeight="1" x14ac:dyDescent="0.2">
      <c r="A79" s="742"/>
      <c r="B79" s="743"/>
      <c r="C79" s="743"/>
      <c r="D79" s="743"/>
      <c r="E79" s="743"/>
      <c r="F79" s="743"/>
      <c r="G79" s="743"/>
      <c r="H79" s="743"/>
      <c r="I79" s="743"/>
      <c r="J79" s="744"/>
    </row>
    <row r="80" spans="1:10" ht="12.75" customHeight="1" x14ac:dyDescent="0.2">
      <c r="A80" s="742"/>
      <c r="B80" s="743"/>
      <c r="C80" s="743"/>
      <c r="D80" s="743"/>
      <c r="E80" s="743"/>
      <c r="F80" s="743"/>
      <c r="G80" s="743"/>
      <c r="H80" s="743"/>
      <c r="I80" s="743"/>
      <c r="J80" s="744"/>
    </row>
    <row r="81" spans="1:10" ht="12.75" customHeight="1" x14ac:dyDescent="0.2">
      <c r="A81" s="742"/>
      <c r="B81" s="743"/>
      <c r="C81" s="743"/>
      <c r="D81" s="743"/>
      <c r="E81" s="743"/>
      <c r="F81" s="743"/>
      <c r="G81" s="743"/>
      <c r="H81" s="743"/>
      <c r="I81" s="743"/>
      <c r="J81" s="744"/>
    </row>
    <row r="82" spans="1:10" ht="12.75" customHeight="1" x14ac:dyDescent="0.2">
      <c r="A82" s="742"/>
      <c r="B82" s="743"/>
      <c r="C82" s="743"/>
      <c r="D82" s="743"/>
      <c r="E82" s="743"/>
      <c r="F82" s="743"/>
      <c r="G82" s="743"/>
      <c r="H82" s="743"/>
      <c r="I82" s="743"/>
      <c r="J82" s="744"/>
    </row>
    <row r="83" spans="1:10" ht="12.75" customHeight="1" x14ac:dyDescent="0.2">
      <c r="A83" s="742"/>
      <c r="B83" s="743"/>
      <c r="C83" s="743"/>
      <c r="D83" s="743"/>
      <c r="E83" s="743"/>
      <c r="F83" s="743"/>
      <c r="G83" s="743"/>
      <c r="H83" s="743"/>
      <c r="I83" s="743"/>
      <c r="J83" s="744"/>
    </row>
    <row r="84" spans="1:10" ht="12.75" customHeight="1" x14ac:dyDescent="0.2">
      <c r="A84" s="742"/>
      <c r="B84" s="743"/>
      <c r="C84" s="743"/>
      <c r="D84" s="743"/>
      <c r="E84" s="743"/>
      <c r="F84" s="743"/>
      <c r="G84" s="743"/>
      <c r="H84" s="743"/>
      <c r="I84" s="743"/>
      <c r="J84" s="744"/>
    </row>
    <row r="85" spans="1:10" s="61" customFormat="1" x14ac:dyDescent="0.2">
      <c r="A85" s="55"/>
      <c r="B85" s="56"/>
      <c r="C85" s="57"/>
      <c r="D85" s="58"/>
      <c r="E85" s="58"/>
      <c r="F85" s="58"/>
      <c r="G85" s="58"/>
      <c r="H85" s="59"/>
      <c r="I85" s="57"/>
      <c r="J85" s="60"/>
    </row>
    <row r="86" spans="1:10" s="61" customFormat="1" ht="25.5" customHeight="1" x14ac:dyDescent="0.2">
      <c r="A86" s="751" t="s">
        <v>202</v>
      </c>
      <c r="B86" s="752"/>
      <c r="C86" s="752"/>
      <c r="D86" s="752"/>
      <c r="E86" s="752"/>
      <c r="F86" s="753" t="s">
        <v>745</v>
      </c>
      <c r="G86" s="754"/>
      <c r="H86" s="754"/>
      <c r="I86" s="754"/>
      <c r="J86" s="755"/>
    </row>
    <row r="87" spans="1:10" s="61" customFormat="1" ht="12.75" customHeight="1" x14ac:dyDescent="0.2">
      <c r="A87" s="475" t="s">
        <v>301</v>
      </c>
      <c r="B87" s="476"/>
      <c r="C87" s="476"/>
      <c r="D87" s="476"/>
      <c r="E87" s="476"/>
      <c r="F87" s="746">
        <v>0.33150000000000002</v>
      </c>
      <c r="G87" s="746"/>
      <c r="H87" s="746"/>
      <c r="I87" s="746"/>
      <c r="J87" s="747"/>
    </row>
    <row r="88" spans="1:10" ht="12.75" customHeight="1" x14ac:dyDescent="0.2">
      <c r="A88" s="721" t="s">
        <v>368</v>
      </c>
      <c r="B88" s="722"/>
      <c r="C88" s="722"/>
      <c r="D88" s="722"/>
      <c r="E88" s="722"/>
      <c r="F88" s="722"/>
      <c r="G88" s="722"/>
      <c r="H88" s="722"/>
      <c r="I88" s="722"/>
      <c r="J88" s="723"/>
    </row>
    <row r="89" spans="1:10" ht="12.75" customHeight="1" x14ac:dyDescent="0.2">
      <c r="A89" s="724"/>
      <c r="B89" s="725"/>
      <c r="C89" s="725"/>
      <c r="D89" s="725"/>
      <c r="E89" s="725"/>
      <c r="F89" s="725"/>
      <c r="G89" s="725"/>
      <c r="H89" s="725"/>
      <c r="I89" s="725"/>
      <c r="J89" s="726"/>
    </row>
    <row r="90" spans="1:10" ht="12.75" customHeight="1" x14ac:dyDescent="0.2">
      <c r="A90" s="724"/>
      <c r="B90" s="725"/>
      <c r="C90" s="725"/>
      <c r="D90" s="725"/>
      <c r="E90" s="725"/>
      <c r="F90" s="725"/>
      <c r="G90" s="725"/>
      <c r="H90" s="725"/>
      <c r="I90" s="725"/>
      <c r="J90" s="726"/>
    </row>
    <row r="91" spans="1:10" ht="15" customHeight="1" x14ac:dyDescent="0.2">
      <c r="A91" s="727"/>
      <c r="B91" s="728"/>
      <c r="C91" s="728"/>
      <c r="D91" s="728"/>
      <c r="E91" s="728"/>
      <c r="F91" s="728"/>
      <c r="G91" s="728"/>
      <c r="H91" s="728"/>
      <c r="I91" s="728"/>
      <c r="J91" s="729"/>
    </row>
    <row r="92" spans="1:10" ht="12.75" customHeight="1" x14ac:dyDescent="0.2">
      <c r="A92" s="742" t="s">
        <v>1052</v>
      </c>
      <c r="B92" s="743"/>
      <c r="C92" s="743"/>
      <c r="D92" s="743"/>
      <c r="E92" s="743"/>
      <c r="F92" s="743"/>
      <c r="G92" s="743"/>
      <c r="H92" s="743"/>
      <c r="I92" s="743"/>
      <c r="J92" s="744"/>
    </row>
    <row r="93" spans="1:10" ht="12.75" customHeight="1" x14ac:dyDescent="0.2">
      <c r="A93" s="742"/>
      <c r="B93" s="743"/>
      <c r="C93" s="743"/>
      <c r="D93" s="743"/>
      <c r="E93" s="743"/>
      <c r="F93" s="743"/>
      <c r="G93" s="743"/>
      <c r="H93" s="743"/>
      <c r="I93" s="743"/>
      <c r="J93" s="744"/>
    </row>
    <row r="94" spans="1:10" ht="12.75" customHeight="1" x14ac:dyDescent="0.2">
      <c r="A94" s="742"/>
      <c r="B94" s="743"/>
      <c r="C94" s="743"/>
      <c r="D94" s="743"/>
      <c r="E94" s="743"/>
      <c r="F94" s="743"/>
      <c r="G94" s="743"/>
      <c r="H94" s="743"/>
      <c r="I94" s="743"/>
      <c r="J94" s="744"/>
    </row>
    <row r="95" spans="1:10" ht="12.75" customHeight="1" x14ac:dyDescent="0.2">
      <c r="A95" s="742"/>
      <c r="B95" s="743"/>
      <c r="C95" s="743"/>
      <c r="D95" s="743"/>
      <c r="E95" s="743"/>
      <c r="F95" s="743"/>
      <c r="G95" s="743"/>
      <c r="H95" s="743"/>
      <c r="I95" s="743"/>
      <c r="J95" s="744"/>
    </row>
    <row r="96" spans="1:10" ht="12.75" customHeight="1" x14ac:dyDescent="0.2">
      <c r="A96" s="742"/>
      <c r="B96" s="743"/>
      <c r="C96" s="743"/>
      <c r="D96" s="743"/>
      <c r="E96" s="743"/>
      <c r="F96" s="743"/>
      <c r="G96" s="743"/>
      <c r="H96" s="743"/>
      <c r="I96" s="743"/>
      <c r="J96" s="744"/>
    </row>
    <row r="97" spans="1:10" ht="12.75" customHeight="1" x14ac:dyDescent="0.2">
      <c r="A97" s="742"/>
      <c r="B97" s="743"/>
      <c r="C97" s="743"/>
      <c r="D97" s="743"/>
      <c r="E97" s="743"/>
      <c r="F97" s="743"/>
      <c r="G97" s="743"/>
      <c r="H97" s="743"/>
      <c r="I97" s="743"/>
      <c r="J97" s="744"/>
    </row>
    <row r="98" spans="1:10" ht="12.75" customHeight="1" x14ac:dyDescent="0.2">
      <c r="A98" s="742"/>
      <c r="B98" s="743"/>
      <c r="C98" s="743"/>
      <c r="D98" s="743"/>
      <c r="E98" s="743"/>
      <c r="F98" s="743"/>
      <c r="G98" s="743"/>
      <c r="H98" s="743"/>
      <c r="I98" s="743"/>
      <c r="J98" s="744"/>
    </row>
    <row r="99" spans="1:10" ht="12.75" customHeight="1" x14ac:dyDescent="0.2">
      <c r="A99" s="742"/>
      <c r="B99" s="743"/>
      <c r="C99" s="743"/>
      <c r="D99" s="743"/>
      <c r="E99" s="743"/>
      <c r="F99" s="743"/>
      <c r="G99" s="743"/>
      <c r="H99" s="743"/>
      <c r="I99" s="743"/>
      <c r="J99" s="744"/>
    </row>
    <row r="100" spans="1:10" ht="12.75" customHeight="1" x14ac:dyDescent="0.2">
      <c r="A100" s="742"/>
      <c r="B100" s="743"/>
      <c r="C100" s="743"/>
      <c r="D100" s="743"/>
      <c r="E100" s="743"/>
      <c r="F100" s="743"/>
      <c r="G100" s="743"/>
      <c r="H100" s="743"/>
      <c r="I100" s="743"/>
      <c r="J100" s="744"/>
    </row>
    <row r="101" spans="1:10" ht="12.75" customHeight="1" x14ac:dyDescent="0.2">
      <c r="A101" s="742"/>
      <c r="B101" s="743"/>
      <c r="C101" s="743"/>
      <c r="D101" s="743"/>
      <c r="E101" s="743"/>
      <c r="F101" s="743"/>
      <c r="G101" s="743"/>
      <c r="H101" s="743"/>
      <c r="I101" s="743"/>
      <c r="J101" s="744"/>
    </row>
    <row r="102" spans="1:10" ht="12.75" customHeight="1" x14ac:dyDescent="0.2">
      <c r="A102" s="742"/>
      <c r="B102" s="743"/>
      <c r="C102" s="743"/>
      <c r="D102" s="743"/>
      <c r="E102" s="743"/>
      <c r="F102" s="743"/>
      <c r="G102" s="743"/>
      <c r="H102" s="743"/>
      <c r="I102" s="743"/>
      <c r="J102" s="744"/>
    </row>
    <row r="103" spans="1:10" ht="12.75" customHeight="1" x14ac:dyDescent="0.2">
      <c r="A103" s="742"/>
      <c r="B103" s="743"/>
      <c r="C103" s="743"/>
      <c r="D103" s="743"/>
      <c r="E103" s="743"/>
      <c r="F103" s="743"/>
      <c r="G103" s="743"/>
      <c r="H103" s="743"/>
      <c r="I103" s="743"/>
      <c r="J103" s="744"/>
    </row>
    <row r="104" spans="1:10" ht="12.75" customHeight="1" x14ac:dyDescent="0.2">
      <c r="A104" s="742"/>
      <c r="B104" s="743"/>
      <c r="C104" s="743"/>
      <c r="D104" s="743"/>
      <c r="E104" s="743"/>
      <c r="F104" s="743"/>
      <c r="G104" s="743"/>
      <c r="H104" s="743"/>
      <c r="I104" s="743"/>
      <c r="J104" s="744"/>
    </row>
    <row r="105" spans="1:10" ht="12.75" customHeight="1" x14ac:dyDescent="0.2">
      <c r="A105" s="742"/>
      <c r="B105" s="743"/>
      <c r="C105" s="743"/>
      <c r="D105" s="743"/>
      <c r="E105" s="743"/>
      <c r="F105" s="743"/>
      <c r="G105" s="743"/>
      <c r="H105" s="743"/>
      <c r="I105" s="743"/>
      <c r="J105" s="744"/>
    </row>
    <row r="106" spans="1:10" ht="12.75" customHeight="1" x14ac:dyDescent="0.2">
      <c r="A106" s="742"/>
      <c r="B106" s="743"/>
      <c r="C106" s="743"/>
      <c r="D106" s="743"/>
      <c r="E106" s="743"/>
      <c r="F106" s="743"/>
      <c r="G106" s="743"/>
      <c r="H106" s="743"/>
      <c r="I106" s="743"/>
      <c r="J106" s="744"/>
    </row>
    <row r="107" spans="1:10" ht="12.75" customHeight="1" x14ac:dyDescent="0.2">
      <c r="A107" s="742"/>
      <c r="B107" s="743"/>
      <c r="C107" s="743"/>
      <c r="D107" s="743"/>
      <c r="E107" s="743"/>
      <c r="F107" s="743"/>
      <c r="G107" s="743"/>
      <c r="H107" s="743"/>
      <c r="I107" s="743"/>
      <c r="J107" s="744"/>
    </row>
    <row r="108" spans="1:10" ht="12.75" customHeight="1" x14ac:dyDescent="0.2">
      <c r="A108" s="742"/>
      <c r="B108" s="743"/>
      <c r="C108" s="743"/>
      <c r="D108" s="743"/>
      <c r="E108" s="743"/>
      <c r="F108" s="743"/>
      <c r="G108" s="743"/>
      <c r="H108" s="743"/>
      <c r="I108" s="743"/>
      <c r="J108" s="744"/>
    </row>
    <row r="109" spans="1:10" ht="12.75" customHeight="1" x14ac:dyDescent="0.2">
      <c r="A109" s="742"/>
      <c r="B109" s="743"/>
      <c r="C109" s="743"/>
      <c r="D109" s="743"/>
      <c r="E109" s="743"/>
      <c r="F109" s="743"/>
      <c r="G109" s="743"/>
      <c r="H109" s="743"/>
      <c r="I109" s="743"/>
      <c r="J109" s="744"/>
    </row>
    <row r="110" spans="1:10" ht="12.75" customHeight="1" x14ac:dyDescent="0.2">
      <c r="A110" s="742"/>
      <c r="B110" s="743"/>
      <c r="C110" s="743"/>
      <c r="D110" s="743"/>
      <c r="E110" s="743"/>
      <c r="F110" s="743"/>
      <c r="G110" s="743"/>
      <c r="H110" s="743"/>
      <c r="I110" s="743"/>
      <c r="J110" s="744"/>
    </row>
    <row r="111" spans="1:10" ht="12.75" customHeight="1" x14ac:dyDescent="0.2">
      <c r="A111" s="742"/>
      <c r="B111" s="743"/>
      <c r="C111" s="743"/>
      <c r="D111" s="743"/>
      <c r="E111" s="743"/>
      <c r="F111" s="743"/>
      <c r="G111" s="743"/>
      <c r="H111" s="743"/>
      <c r="I111" s="743"/>
      <c r="J111" s="744"/>
    </row>
    <row r="112" spans="1:10" ht="12.75" customHeight="1" x14ac:dyDescent="0.2">
      <c r="A112" s="742"/>
      <c r="B112" s="743"/>
      <c r="C112" s="743"/>
      <c r="D112" s="743"/>
      <c r="E112" s="743"/>
      <c r="F112" s="743"/>
      <c r="G112" s="743"/>
      <c r="H112" s="743"/>
      <c r="I112" s="743"/>
      <c r="J112" s="744"/>
    </row>
    <row r="113" spans="1:10" ht="12.75" customHeight="1" x14ac:dyDescent="0.2">
      <c r="A113" s="742"/>
      <c r="B113" s="743"/>
      <c r="C113" s="743"/>
      <c r="D113" s="743"/>
      <c r="E113" s="743"/>
      <c r="F113" s="743"/>
      <c r="G113" s="743"/>
      <c r="H113" s="743"/>
      <c r="I113" s="743"/>
      <c r="J113" s="744"/>
    </row>
    <row r="114" spans="1:10" ht="12.75" customHeight="1" x14ac:dyDescent="0.2">
      <c r="A114" s="742"/>
      <c r="B114" s="743"/>
      <c r="C114" s="743"/>
      <c r="D114" s="743"/>
      <c r="E114" s="743"/>
      <c r="F114" s="743"/>
      <c r="G114" s="743"/>
      <c r="H114" s="743"/>
      <c r="I114" s="743"/>
      <c r="J114" s="744"/>
    </row>
    <row r="115" spans="1:10" ht="12.75" customHeight="1" x14ac:dyDescent="0.2">
      <c r="A115" s="742"/>
      <c r="B115" s="743"/>
      <c r="C115" s="743"/>
      <c r="D115" s="743"/>
      <c r="E115" s="743"/>
      <c r="F115" s="743"/>
      <c r="G115" s="743"/>
      <c r="H115" s="743"/>
      <c r="I115" s="743"/>
      <c r="J115" s="744"/>
    </row>
    <row r="116" spans="1:10" ht="12.75" customHeight="1" x14ac:dyDescent="0.2">
      <c r="A116" s="742"/>
      <c r="B116" s="743"/>
      <c r="C116" s="743"/>
      <c r="D116" s="743"/>
      <c r="E116" s="743"/>
      <c r="F116" s="743"/>
      <c r="G116" s="743"/>
      <c r="H116" s="743"/>
      <c r="I116" s="743"/>
      <c r="J116" s="744"/>
    </row>
    <row r="117" spans="1:10" ht="12.75" customHeight="1" x14ac:dyDescent="0.2">
      <c r="A117" s="742"/>
      <c r="B117" s="743"/>
      <c r="C117" s="743"/>
      <c r="D117" s="743"/>
      <c r="E117" s="743"/>
      <c r="F117" s="743"/>
      <c r="G117" s="743"/>
      <c r="H117" s="743"/>
      <c r="I117" s="743"/>
      <c r="J117" s="744"/>
    </row>
    <row r="118" spans="1:10" ht="12.75" customHeight="1" x14ac:dyDescent="0.2">
      <c r="A118" s="742"/>
      <c r="B118" s="743"/>
      <c r="C118" s="743"/>
      <c r="D118" s="743"/>
      <c r="E118" s="743"/>
      <c r="F118" s="743"/>
      <c r="G118" s="743"/>
      <c r="H118" s="743"/>
      <c r="I118" s="743"/>
      <c r="J118" s="744"/>
    </row>
    <row r="119" spans="1:10" ht="12.75" customHeight="1" x14ac:dyDescent="0.2">
      <c r="A119" s="742"/>
      <c r="B119" s="743"/>
      <c r="C119" s="743"/>
      <c r="D119" s="743"/>
      <c r="E119" s="743"/>
      <c r="F119" s="743"/>
      <c r="G119" s="743"/>
      <c r="H119" s="743"/>
      <c r="I119" s="743"/>
      <c r="J119" s="744"/>
    </row>
    <row r="120" spans="1:10" ht="12.75" customHeight="1" x14ac:dyDescent="0.2">
      <c r="A120" s="742"/>
      <c r="B120" s="743"/>
      <c r="C120" s="743"/>
      <c r="D120" s="743"/>
      <c r="E120" s="743"/>
      <c r="F120" s="743"/>
      <c r="G120" s="743"/>
      <c r="H120" s="743"/>
      <c r="I120" s="743"/>
      <c r="J120" s="744"/>
    </row>
    <row r="121" spans="1:10" ht="12.75" customHeight="1" x14ac:dyDescent="0.2">
      <c r="A121" s="742"/>
      <c r="B121" s="743"/>
      <c r="C121" s="743"/>
      <c r="D121" s="743"/>
      <c r="E121" s="743"/>
      <c r="F121" s="743"/>
      <c r="G121" s="743"/>
      <c r="H121" s="743"/>
      <c r="I121" s="743"/>
      <c r="J121" s="744"/>
    </row>
    <row r="122" spans="1:10" ht="12.75" customHeight="1" x14ac:dyDescent="0.2">
      <c r="A122" s="742"/>
      <c r="B122" s="743"/>
      <c r="C122" s="743"/>
      <c r="D122" s="743"/>
      <c r="E122" s="743"/>
      <c r="F122" s="743"/>
      <c r="G122" s="743"/>
      <c r="H122" s="743"/>
      <c r="I122" s="743"/>
      <c r="J122" s="744"/>
    </row>
    <row r="123" spans="1:10" ht="12.75" customHeight="1" x14ac:dyDescent="0.2">
      <c r="A123" s="742"/>
      <c r="B123" s="743"/>
      <c r="C123" s="743"/>
      <c r="D123" s="743"/>
      <c r="E123" s="743"/>
      <c r="F123" s="743"/>
      <c r="G123" s="743"/>
      <c r="H123" s="743"/>
      <c r="I123" s="743"/>
      <c r="J123" s="744"/>
    </row>
    <row r="124" spans="1:10" ht="12.75" customHeight="1" x14ac:dyDescent="0.2">
      <c r="A124" s="742"/>
      <c r="B124" s="743"/>
      <c r="C124" s="743"/>
      <c r="D124" s="743"/>
      <c r="E124" s="743"/>
      <c r="F124" s="743"/>
      <c r="G124" s="743"/>
      <c r="H124" s="743"/>
      <c r="I124" s="743"/>
      <c r="J124" s="744"/>
    </row>
    <row r="125" spans="1:10" ht="12.75" customHeight="1" x14ac:dyDescent="0.2">
      <c r="A125" s="742"/>
      <c r="B125" s="743"/>
      <c r="C125" s="743"/>
      <c r="D125" s="743"/>
      <c r="E125" s="743"/>
      <c r="F125" s="743"/>
      <c r="G125" s="743"/>
      <c r="H125" s="743"/>
      <c r="I125" s="743"/>
      <c r="J125" s="744"/>
    </row>
    <row r="126" spans="1:10" ht="12.75" customHeight="1" x14ac:dyDescent="0.2">
      <c r="A126" s="742"/>
      <c r="B126" s="743"/>
      <c r="C126" s="743"/>
      <c r="D126" s="743"/>
      <c r="E126" s="743"/>
      <c r="F126" s="743"/>
      <c r="G126" s="743"/>
      <c r="H126" s="743"/>
      <c r="I126" s="743"/>
      <c r="J126" s="744"/>
    </row>
    <row r="127" spans="1:10" s="61" customFormat="1" x14ac:dyDescent="0.2">
      <c r="A127" s="55"/>
      <c r="B127" s="56"/>
      <c r="C127" s="57"/>
      <c r="D127" s="58"/>
      <c r="E127" s="58"/>
      <c r="F127" s="58"/>
      <c r="G127" s="58"/>
      <c r="H127" s="59"/>
      <c r="I127" s="57"/>
      <c r="J127" s="60"/>
    </row>
    <row r="128" spans="1:10" s="61" customFormat="1" ht="25.5" customHeight="1" x14ac:dyDescent="0.2">
      <c r="A128" s="751" t="s">
        <v>201</v>
      </c>
      <c r="B128" s="752"/>
      <c r="C128" s="752"/>
      <c r="D128" s="752"/>
      <c r="E128" s="752"/>
      <c r="F128" s="753" t="s">
        <v>833</v>
      </c>
      <c r="G128" s="754"/>
      <c r="H128" s="754"/>
      <c r="I128" s="754"/>
      <c r="J128" s="755"/>
    </row>
    <row r="129" spans="1:10" s="61" customFormat="1" ht="12.75" customHeight="1" x14ac:dyDescent="0.2">
      <c r="A129" s="475" t="s">
        <v>301</v>
      </c>
      <c r="B129" s="476"/>
      <c r="C129" s="476"/>
      <c r="D129" s="476"/>
      <c r="E129" s="476"/>
      <c r="F129" s="746">
        <v>0.2</v>
      </c>
      <c r="G129" s="746"/>
      <c r="H129" s="746"/>
      <c r="I129" s="746"/>
      <c r="J129" s="747"/>
    </row>
    <row r="130" spans="1:10" ht="12.75" customHeight="1" x14ac:dyDescent="0.2">
      <c r="A130" s="721" t="s">
        <v>368</v>
      </c>
      <c r="B130" s="722"/>
      <c r="C130" s="722"/>
      <c r="D130" s="722"/>
      <c r="E130" s="722"/>
      <c r="F130" s="722"/>
      <c r="G130" s="722"/>
      <c r="H130" s="722"/>
      <c r="I130" s="722"/>
      <c r="J130" s="723"/>
    </row>
    <row r="131" spans="1:10" ht="12.75" customHeight="1" x14ac:dyDescent="0.2">
      <c r="A131" s="724"/>
      <c r="B131" s="725"/>
      <c r="C131" s="725"/>
      <c r="D131" s="725"/>
      <c r="E131" s="725"/>
      <c r="F131" s="725"/>
      <c r="G131" s="725"/>
      <c r="H131" s="725"/>
      <c r="I131" s="725"/>
      <c r="J131" s="726"/>
    </row>
    <row r="132" spans="1:10" ht="12.75" customHeight="1" x14ac:dyDescent="0.2">
      <c r="A132" s="724"/>
      <c r="B132" s="725"/>
      <c r="C132" s="725"/>
      <c r="D132" s="725"/>
      <c r="E132" s="725"/>
      <c r="F132" s="725"/>
      <c r="G132" s="725"/>
      <c r="H132" s="725"/>
      <c r="I132" s="725"/>
      <c r="J132" s="726"/>
    </row>
    <row r="133" spans="1:10" ht="15" customHeight="1" x14ac:dyDescent="0.2">
      <c r="A133" s="727"/>
      <c r="B133" s="728"/>
      <c r="C133" s="728"/>
      <c r="D133" s="728"/>
      <c r="E133" s="728"/>
      <c r="F133" s="728"/>
      <c r="G133" s="728"/>
      <c r="H133" s="728"/>
      <c r="I133" s="728"/>
      <c r="J133" s="729"/>
    </row>
    <row r="134" spans="1:10" ht="12.75" customHeight="1" x14ac:dyDescent="0.2">
      <c r="A134" s="742" t="s">
        <v>1161</v>
      </c>
      <c r="B134" s="743"/>
      <c r="C134" s="743"/>
      <c r="D134" s="743"/>
      <c r="E134" s="743"/>
      <c r="F134" s="743"/>
      <c r="G134" s="743"/>
      <c r="H134" s="743"/>
      <c r="I134" s="743"/>
      <c r="J134" s="744"/>
    </row>
    <row r="135" spans="1:10" ht="12.75" customHeight="1" x14ac:dyDescent="0.2">
      <c r="A135" s="742"/>
      <c r="B135" s="743"/>
      <c r="C135" s="743"/>
      <c r="D135" s="743"/>
      <c r="E135" s="743"/>
      <c r="F135" s="743"/>
      <c r="G135" s="743"/>
      <c r="H135" s="743"/>
      <c r="I135" s="743"/>
      <c r="J135" s="744"/>
    </row>
    <row r="136" spans="1:10" ht="12.75" customHeight="1" x14ac:dyDescent="0.2">
      <c r="A136" s="742"/>
      <c r="B136" s="743"/>
      <c r="C136" s="743"/>
      <c r="D136" s="743"/>
      <c r="E136" s="743"/>
      <c r="F136" s="743"/>
      <c r="G136" s="743"/>
      <c r="H136" s="743"/>
      <c r="I136" s="743"/>
      <c r="J136" s="744"/>
    </row>
    <row r="137" spans="1:10" ht="12.75" customHeight="1" x14ac:dyDescent="0.2">
      <c r="A137" s="742"/>
      <c r="B137" s="743"/>
      <c r="C137" s="743"/>
      <c r="D137" s="743"/>
      <c r="E137" s="743"/>
      <c r="F137" s="743"/>
      <c r="G137" s="743"/>
      <c r="H137" s="743"/>
      <c r="I137" s="743"/>
      <c r="J137" s="744"/>
    </row>
    <row r="138" spans="1:10" ht="12.75" customHeight="1" x14ac:dyDescent="0.2">
      <c r="A138" s="742"/>
      <c r="B138" s="743"/>
      <c r="C138" s="743"/>
      <c r="D138" s="743"/>
      <c r="E138" s="743"/>
      <c r="F138" s="743"/>
      <c r="G138" s="743"/>
      <c r="H138" s="743"/>
      <c r="I138" s="743"/>
      <c r="J138" s="744"/>
    </row>
    <row r="139" spans="1:10" ht="12.75" customHeight="1" x14ac:dyDescent="0.2">
      <c r="A139" s="742"/>
      <c r="B139" s="743"/>
      <c r="C139" s="743"/>
      <c r="D139" s="743"/>
      <c r="E139" s="743"/>
      <c r="F139" s="743"/>
      <c r="G139" s="743"/>
      <c r="H139" s="743"/>
      <c r="I139" s="743"/>
      <c r="J139" s="744"/>
    </row>
    <row r="140" spans="1:10" ht="12.75" customHeight="1" x14ac:dyDescent="0.2">
      <c r="A140" s="742"/>
      <c r="B140" s="743"/>
      <c r="C140" s="743"/>
      <c r="D140" s="743"/>
      <c r="E140" s="743"/>
      <c r="F140" s="743"/>
      <c r="G140" s="743"/>
      <c r="H140" s="743"/>
      <c r="I140" s="743"/>
      <c r="J140" s="744"/>
    </row>
    <row r="141" spans="1:10" ht="12.75" customHeight="1" x14ac:dyDescent="0.2">
      <c r="A141" s="742"/>
      <c r="B141" s="743"/>
      <c r="C141" s="743"/>
      <c r="D141" s="743"/>
      <c r="E141" s="743"/>
      <c r="F141" s="743"/>
      <c r="G141" s="743"/>
      <c r="H141" s="743"/>
      <c r="I141" s="743"/>
      <c r="J141" s="744"/>
    </row>
    <row r="142" spans="1:10" ht="12.75" customHeight="1" x14ac:dyDescent="0.2">
      <c r="A142" s="742"/>
      <c r="B142" s="743"/>
      <c r="C142" s="743"/>
      <c r="D142" s="743"/>
      <c r="E142" s="743"/>
      <c r="F142" s="743"/>
      <c r="G142" s="743"/>
      <c r="H142" s="743"/>
      <c r="I142" s="743"/>
      <c r="J142" s="744"/>
    </row>
    <row r="143" spans="1:10" ht="12.75" customHeight="1" x14ac:dyDescent="0.2">
      <c r="A143" s="742"/>
      <c r="B143" s="743"/>
      <c r="C143" s="743"/>
      <c r="D143" s="743"/>
      <c r="E143" s="743"/>
      <c r="F143" s="743"/>
      <c r="G143" s="743"/>
      <c r="H143" s="743"/>
      <c r="I143" s="743"/>
      <c r="J143" s="744"/>
    </row>
    <row r="144" spans="1:10" ht="12.75" customHeight="1" x14ac:dyDescent="0.2">
      <c r="A144" s="742"/>
      <c r="B144" s="743"/>
      <c r="C144" s="743"/>
      <c r="D144" s="743"/>
      <c r="E144" s="743"/>
      <c r="F144" s="743"/>
      <c r="G144" s="743"/>
      <c r="H144" s="743"/>
      <c r="I144" s="743"/>
      <c r="J144" s="744"/>
    </row>
    <row r="145" spans="1:10" ht="12.75" customHeight="1" x14ac:dyDescent="0.2">
      <c r="A145" s="742"/>
      <c r="B145" s="743"/>
      <c r="C145" s="743"/>
      <c r="D145" s="743"/>
      <c r="E145" s="743"/>
      <c r="F145" s="743"/>
      <c r="G145" s="743"/>
      <c r="H145" s="743"/>
      <c r="I145" s="743"/>
      <c r="J145" s="744"/>
    </row>
    <row r="146" spans="1:10" ht="12.75" customHeight="1" x14ac:dyDescent="0.2">
      <c r="A146" s="742"/>
      <c r="B146" s="743"/>
      <c r="C146" s="743"/>
      <c r="D146" s="743"/>
      <c r="E146" s="743"/>
      <c r="F146" s="743"/>
      <c r="G146" s="743"/>
      <c r="H146" s="743"/>
      <c r="I146" s="743"/>
      <c r="J146" s="744"/>
    </row>
    <row r="147" spans="1:10" ht="12.75" customHeight="1" x14ac:dyDescent="0.2">
      <c r="A147" s="742"/>
      <c r="B147" s="743"/>
      <c r="C147" s="743"/>
      <c r="D147" s="743"/>
      <c r="E147" s="743"/>
      <c r="F147" s="743"/>
      <c r="G147" s="743"/>
      <c r="H147" s="743"/>
      <c r="I147" s="743"/>
      <c r="J147" s="744"/>
    </row>
    <row r="148" spans="1:10" ht="12.75" customHeight="1" x14ac:dyDescent="0.2">
      <c r="A148" s="742"/>
      <c r="B148" s="743"/>
      <c r="C148" s="743"/>
      <c r="D148" s="743"/>
      <c r="E148" s="743"/>
      <c r="F148" s="743"/>
      <c r="G148" s="743"/>
      <c r="H148" s="743"/>
      <c r="I148" s="743"/>
      <c r="J148" s="744"/>
    </row>
    <row r="149" spans="1:10" ht="12.75" customHeight="1" x14ac:dyDescent="0.2">
      <c r="A149" s="742"/>
      <c r="B149" s="743"/>
      <c r="C149" s="743"/>
      <c r="D149" s="743"/>
      <c r="E149" s="743"/>
      <c r="F149" s="743"/>
      <c r="G149" s="743"/>
      <c r="H149" s="743"/>
      <c r="I149" s="743"/>
      <c r="J149" s="744"/>
    </row>
    <row r="150" spans="1:10" ht="12.75" customHeight="1" x14ac:dyDescent="0.2">
      <c r="A150" s="742"/>
      <c r="B150" s="743"/>
      <c r="C150" s="743"/>
      <c r="D150" s="743"/>
      <c r="E150" s="743"/>
      <c r="F150" s="743"/>
      <c r="G150" s="743"/>
      <c r="H150" s="743"/>
      <c r="I150" s="743"/>
      <c r="J150" s="744"/>
    </row>
    <row r="151" spans="1:10" ht="12.75" customHeight="1" x14ac:dyDescent="0.2">
      <c r="A151" s="742"/>
      <c r="B151" s="743"/>
      <c r="C151" s="743"/>
      <c r="D151" s="743"/>
      <c r="E151" s="743"/>
      <c r="F151" s="743"/>
      <c r="G151" s="743"/>
      <c r="H151" s="743"/>
      <c r="I151" s="743"/>
      <c r="J151" s="744"/>
    </row>
    <row r="152" spans="1:10" ht="12.75" customHeight="1" x14ac:dyDescent="0.2">
      <c r="A152" s="742"/>
      <c r="B152" s="743"/>
      <c r="C152" s="743"/>
      <c r="D152" s="743"/>
      <c r="E152" s="743"/>
      <c r="F152" s="743"/>
      <c r="G152" s="743"/>
      <c r="H152" s="743"/>
      <c r="I152" s="743"/>
      <c r="J152" s="744"/>
    </row>
    <row r="153" spans="1:10" ht="12.75" customHeight="1" x14ac:dyDescent="0.2">
      <c r="A153" s="742"/>
      <c r="B153" s="743"/>
      <c r="C153" s="743"/>
      <c r="D153" s="743"/>
      <c r="E153" s="743"/>
      <c r="F153" s="743"/>
      <c r="G153" s="743"/>
      <c r="H153" s="743"/>
      <c r="I153" s="743"/>
      <c r="J153" s="744"/>
    </row>
    <row r="154" spans="1:10" ht="12.75" customHeight="1" x14ac:dyDescent="0.2">
      <c r="A154" s="742"/>
      <c r="B154" s="743"/>
      <c r="C154" s="743"/>
      <c r="D154" s="743"/>
      <c r="E154" s="743"/>
      <c r="F154" s="743"/>
      <c r="G154" s="743"/>
      <c r="H154" s="743"/>
      <c r="I154" s="743"/>
      <c r="J154" s="744"/>
    </row>
    <row r="155" spans="1:10" ht="12.75" customHeight="1" x14ac:dyDescent="0.2">
      <c r="A155" s="742"/>
      <c r="B155" s="743"/>
      <c r="C155" s="743"/>
      <c r="D155" s="743"/>
      <c r="E155" s="743"/>
      <c r="F155" s="743"/>
      <c r="G155" s="743"/>
      <c r="H155" s="743"/>
      <c r="I155" s="743"/>
      <c r="J155" s="744"/>
    </row>
    <row r="156" spans="1:10" ht="12.75" customHeight="1" x14ac:dyDescent="0.2">
      <c r="A156" s="742"/>
      <c r="B156" s="743"/>
      <c r="C156" s="743"/>
      <c r="D156" s="743"/>
      <c r="E156" s="743"/>
      <c r="F156" s="743"/>
      <c r="G156" s="743"/>
      <c r="H156" s="743"/>
      <c r="I156" s="743"/>
      <c r="J156" s="744"/>
    </row>
    <row r="157" spans="1:10" ht="12.75" customHeight="1" x14ac:dyDescent="0.2">
      <c r="A157" s="742"/>
      <c r="B157" s="743"/>
      <c r="C157" s="743"/>
      <c r="D157" s="743"/>
      <c r="E157" s="743"/>
      <c r="F157" s="743"/>
      <c r="G157" s="743"/>
      <c r="H157" s="743"/>
      <c r="I157" s="743"/>
      <c r="J157" s="744"/>
    </row>
    <row r="158" spans="1:10" ht="12.75" customHeight="1" x14ac:dyDescent="0.2">
      <c r="A158" s="742"/>
      <c r="B158" s="743"/>
      <c r="C158" s="743"/>
      <c r="D158" s="743"/>
      <c r="E158" s="743"/>
      <c r="F158" s="743"/>
      <c r="G158" s="743"/>
      <c r="H158" s="743"/>
      <c r="I158" s="743"/>
      <c r="J158" s="744"/>
    </row>
    <row r="159" spans="1:10" ht="12.75" customHeight="1" x14ac:dyDescent="0.2">
      <c r="A159" s="742"/>
      <c r="B159" s="743"/>
      <c r="C159" s="743"/>
      <c r="D159" s="743"/>
      <c r="E159" s="743"/>
      <c r="F159" s="743"/>
      <c r="G159" s="743"/>
      <c r="H159" s="743"/>
      <c r="I159" s="743"/>
      <c r="J159" s="744"/>
    </row>
    <row r="160" spans="1:10" ht="12.75" customHeight="1" x14ac:dyDescent="0.2">
      <c r="A160" s="742"/>
      <c r="B160" s="743"/>
      <c r="C160" s="743"/>
      <c r="D160" s="743"/>
      <c r="E160" s="743"/>
      <c r="F160" s="743"/>
      <c r="G160" s="743"/>
      <c r="H160" s="743"/>
      <c r="I160" s="743"/>
      <c r="J160" s="744"/>
    </row>
    <row r="161" spans="1:10" ht="12.75" customHeight="1" x14ac:dyDescent="0.2">
      <c r="A161" s="742"/>
      <c r="B161" s="743"/>
      <c r="C161" s="743"/>
      <c r="D161" s="743"/>
      <c r="E161" s="743"/>
      <c r="F161" s="743"/>
      <c r="G161" s="743"/>
      <c r="H161" s="743"/>
      <c r="I161" s="743"/>
      <c r="J161" s="744"/>
    </row>
    <row r="162" spans="1:10" ht="12.75" customHeight="1" x14ac:dyDescent="0.2">
      <c r="A162" s="742"/>
      <c r="B162" s="743"/>
      <c r="C162" s="743"/>
      <c r="D162" s="743"/>
      <c r="E162" s="743"/>
      <c r="F162" s="743"/>
      <c r="G162" s="743"/>
      <c r="H162" s="743"/>
      <c r="I162" s="743"/>
      <c r="J162" s="744"/>
    </row>
    <row r="163" spans="1:10" ht="12.75" customHeight="1" x14ac:dyDescent="0.2">
      <c r="A163" s="742"/>
      <c r="B163" s="743"/>
      <c r="C163" s="743"/>
      <c r="D163" s="743"/>
      <c r="E163" s="743"/>
      <c r="F163" s="743"/>
      <c r="G163" s="743"/>
      <c r="H163" s="743"/>
      <c r="I163" s="743"/>
      <c r="J163" s="744"/>
    </row>
    <row r="164" spans="1:10" ht="12.75" customHeight="1" x14ac:dyDescent="0.2">
      <c r="A164" s="742"/>
      <c r="B164" s="743"/>
      <c r="C164" s="743"/>
      <c r="D164" s="743"/>
      <c r="E164" s="743"/>
      <c r="F164" s="743"/>
      <c r="G164" s="743"/>
      <c r="H164" s="743"/>
      <c r="I164" s="743"/>
      <c r="J164" s="744"/>
    </row>
    <row r="165" spans="1:10" ht="12.75" customHeight="1" x14ac:dyDescent="0.2">
      <c r="A165" s="742"/>
      <c r="B165" s="743"/>
      <c r="C165" s="743"/>
      <c r="D165" s="743"/>
      <c r="E165" s="743"/>
      <c r="F165" s="743"/>
      <c r="G165" s="743"/>
      <c r="H165" s="743"/>
      <c r="I165" s="743"/>
      <c r="J165" s="744"/>
    </row>
    <row r="166" spans="1:10" ht="12.75" customHeight="1" x14ac:dyDescent="0.2">
      <c r="A166" s="742"/>
      <c r="B166" s="743"/>
      <c r="C166" s="743"/>
      <c r="D166" s="743"/>
      <c r="E166" s="743"/>
      <c r="F166" s="743"/>
      <c r="G166" s="743"/>
      <c r="H166" s="743"/>
      <c r="I166" s="743"/>
      <c r="J166" s="744"/>
    </row>
    <row r="167" spans="1:10" ht="12.75" customHeight="1" x14ac:dyDescent="0.2">
      <c r="A167" s="742"/>
      <c r="B167" s="743"/>
      <c r="C167" s="743"/>
      <c r="D167" s="743"/>
      <c r="E167" s="743"/>
      <c r="F167" s="743"/>
      <c r="G167" s="743"/>
      <c r="H167" s="743"/>
      <c r="I167" s="743"/>
      <c r="J167" s="744"/>
    </row>
    <row r="168" spans="1:10" ht="12.75" customHeight="1" x14ac:dyDescent="0.2">
      <c r="A168" s="742"/>
      <c r="B168" s="743"/>
      <c r="C168" s="743"/>
      <c r="D168" s="743"/>
      <c r="E168" s="743"/>
      <c r="F168" s="743"/>
      <c r="G168" s="743"/>
      <c r="H168" s="743"/>
      <c r="I168" s="743"/>
      <c r="J168" s="744"/>
    </row>
    <row r="169" spans="1:10" s="61" customFormat="1" x14ac:dyDescent="0.2">
      <c r="A169" s="55"/>
      <c r="B169" s="56"/>
      <c r="C169" s="57"/>
      <c r="D169" s="58"/>
      <c r="E169" s="58"/>
      <c r="F169" s="58"/>
      <c r="G169" s="58"/>
      <c r="H169" s="59"/>
      <c r="I169" s="57"/>
      <c r="J169" s="60"/>
    </row>
    <row r="170" spans="1:10" s="61" customFormat="1" ht="25.5" customHeight="1" x14ac:dyDescent="0.2">
      <c r="A170" s="751" t="s">
        <v>200</v>
      </c>
      <c r="B170" s="752"/>
      <c r="C170" s="752"/>
      <c r="D170" s="752"/>
      <c r="E170" s="752"/>
      <c r="F170" s="753"/>
      <c r="G170" s="754"/>
      <c r="H170" s="754"/>
      <c r="I170" s="754"/>
      <c r="J170" s="755"/>
    </row>
    <row r="171" spans="1:10" s="61" customFormat="1" ht="12.75" customHeight="1" x14ac:dyDescent="0.2">
      <c r="A171" s="475" t="s">
        <v>301</v>
      </c>
      <c r="B171" s="476"/>
      <c r="C171" s="476"/>
      <c r="D171" s="476"/>
      <c r="E171" s="476"/>
      <c r="F171" s="746"/>
      <c r="G171" s="746"/>
      <c r="H171" s="746"/>
      <c r="I171" s="746"/>
      <c r="J171" s="747"/>
    </row>
    <row r="172" spans="1:10" ht="12.75" customHeight="1" x14ac:dyDescent="0.2">
      <c r="A172" s="721" t="s">
        <v>368</v>
      </c>
      <c r="B172" s="722"/>
      <c r="C172" s="722"/>
      <c r="D172" s="722"/>
      <c r="E172" s="722"/>
      <c r="F172" s="722"/>
      <c r="G172" s="722"/>
      <c r="H172" s="722"/>
      <c r="I172" s="722"/>
      <c r="J172" s="723"/>
    </row>
    <row r="173" spans="1:10" ht="12.75" customHeight="1" x14ac:dyDescent="0.2">
      <c r="A173" s="724"/>
      <c r="B173" s="725"/>
      <c r="C173" s="725"/>
      <c r="D173" s="725"/>
      <c r="E173" s="725"/>
      <c r="F173" s="725"/>
      <c r="G173" s="725"/>
      <c r="H173" s="725"/>
      <c r="I173" s="725"/>
      <c r="J173" s="726"/>
    </row>
    <row r="174" spans="1:10" ht="12.75" customHeight="1" x14ac:dyDescent="0.2">
      <c r="A174" s="724"/>
      <c r="B174" s="725"/>
      <c r="C174" s="725"/>
      <c r="D174" s="725"/>
      <c r="E174" s="725"/>
      <c r="F174" s="725"/>
      <c r="G174" s="725"/>
      <c r="H174" s="725"/>
      <c r="I174" s="725"/>
      <c r="J174" s="726"/>
    </row>
    <row r="175" spans="1:10" ht="15" customHeight="1" x14ac:dyDescent="0.2">
      <c r="A175" s="727"/>
      <c r="B175" s="728"/>
      <c r="C175" s="728"/>
      <c r="D175" s="728"/>
      <c r="E175" s="728"/>
      <c r="F175" s="728"/>
      <c r="G175" s="728"/>
      <c r="H175" s="728"/>
      <c r="I175" s="728"/>
      <c r="J175" s="729"/>
    </row>
    <row r="176" spans="1:10" ht="12.75" customHeight="1" x14ac:dyDescent="0.2">
      <c r="A176" s="742"/>
      <c r="B176" s="743"/>
      <c r="C176" s="743"/>
      <c r="D176" s="743"/>
      <c r="E176" s="743"/>
      <c r="F176" s="743"/>
      <c r="G176" s="743"/>
      <c r="H176" s="743"/>
      <c r="I176" s="743"/>
      <c r="J176" s="744"/>
    </row>
    <row r="177" spans="1:10" ht="12.75" customHeight="1" x14ac:dyDescent="0.2">
      <c r="A177" s="742"/>
      <c r="B177" s="743"/>
      <c r="C177" s="743"/>
      <c r="D177" s="743"/>
      <c r="E177" s="743"/>
      <c r="F177" s="743"/>
      <c r="G177" s="743"/>
      <c r="H177" s="743"/>
      <c r="I177" s="743"/>
      <c r="J177" s="744"/>
    </row>
    <row r="178" spans="1:10" ht="12.75" customHeight="1" x14ac:dyDescent="0.2">
      <c r="A178" s="742"/>
      <c r="B178" s="743"/>
      <c r="C178" s="743"/>
      <c r="D178" s="743"/>
      <c r="E178" s="743"/>
      <c r="F178" s="743"/>
      <c r="G178" s="743"/>
      <c r="H178" s="743"/>
      <c r="I178" s="743"/>
      <c r="J178" s="744"/>
    </row>
    <row r="179" spans="1:10" ht="12.75" customHeight="1" x14ac:dyDescent="0.2">
      <c r="A179" s="742"/>
      <c r="B179" s="743"/>
      <c r="C179" s="743"/>
      <c r="D179" s="743"/>
      <c r="E179" s="743"/>
      <c r="F179" s="743"/>
      <c r="G179" s="743"/>
      <c r="H179" s="743"/>
      <c r="I179" s="743"/>
      <c r="J179" s="744"/>
    </row>
    <row r="180" spans="1:10" ht="12.75" customHeight="1" x14ac:dyDescent="0.2">
      <c r="A180" s="742"/>
      <c r="B180" s="743"/>
      <c r="C180" s="743"/>
      <c r="D180" s="743"/>
      <c r="E180" s="743"/>
      <c r="F180" s="743"/>
      <c r="G180" s="743"/>
      <c r="H180" s="743"/>
      <c r="I180" s="743"/>
      <c r="J180" s="744"/>
    </row>
    <row r="181" spans="1:10" ht="12.75" customHeight="1" x14ac:dyDescent="0.2">
      <c r="A181" s="742"/>
      <c r="B181" s="743"/>
      <c r="C181" s="743"/>
      <c r="D181" s="743"/>
      <c r="E181" s="743"/>
      <c r="F181" s="743"/>
      <c r="G181" s="743"/>
      <c r="H181" s="743"/>
      <c r="I181" s="743"/>
      <c r="J181" s="744"/>
    </row>
    <row r="182" spans="1:10" ht="12.75" customHeight="1" x14ac:dyDescent="0.2">
      <c r="A182" s="742"/>
      <c r="B182" s="743"/>
      <c r="C182" s="743"/>
      <c r="D182" s="743"/>
      <c r="E182" s="743"/>
      <c r="F182" s="743"/>
      <c r="G182" s="743"/>
      <c r="H182" s="743"/>
      <c r="I182" s="743"/>
      <c r="J182" s="744"/>
    </row>
    <row r="183" spans="1:10" ht="12.75" customHeight="1" x14ac:dyDescent="0.2">
      <c r="A183" s="742"/>
      <c r="B183" s="743"/>
      <c r="C183" s="743"/>
      <c r="D183" s="743"/>
      <c r="E183" s="743"/>
      <c r="F183" s="743"/>
      <c r="G183" s="743"/>
      <c r="H183" s="743"/>
      <c r="I183" s="743"/>
      <c r="J183" s="744"/>
    </row>
    <row r="184" spans="1:10" ht="12.75" customHeight="1" x14ac:dyDescent="0.2">
      <c r="A184" s="742"/>
      <c r="B184" s="743"/>
      <c r="C184" s="743"/>
      <c r="D184" s="743"/>
      <c r="E184" s="743"/>
      <c r="F184" s="743"/>
      <c r="G184" s="743"/>
      <c r="H184" s="743"/>
      <c r="I184" s="743"/>
      <c r="J184" s="744"/>
    </row>
    <row r="185" spans="1:10" ht="12.75" customHeight="1" x14ac:dyDescent="0.2">
      <c r="A185" s="742"/>
      <c r="B185" s="743"/>
      <c r="C185" s="743"/>
      <c r="D185" s="743"/>
      <c r="E185" s="743"/>
      <c r="F185" s="743"/>
      <c r="G185" s="743"/>
      <c r="H185" s="743"/>
      <c r="I185" s="743"/>
      <c r="J185" s="744"/>
    </row>
    <row r="186" spans="1:10" ht="12.75" customHeight="1" x14ac:dyDescent="0.2">
      <c r="A186" s="742"/>
      <c r="B186" s="743"/>
      <c r="C186" s="743"/>
      <c r="D186" s="743"/>
      <c r="E186" s="743"/>
      <c r="F186" s="743"/>
      <c r="G186" s="743"/>
      <c r="H186" s="743"/>
      <c r="I186" s="743"/>
      <c r="J186" s="744"/>
    </row>
    <row r="187" spans="1:10" ht="12.75" customHeight="1" x14ac:dyDescent="0.2">
      <c r="A187" s="742"/>
      <c r="B187" s="743"/>
      <c r="C187" s="743"/>
      <c r="D187" s="743"/>
      <c r="E187" s="743"/>
      <c r="F187" s="743"/>
      <c r="G187" s="743"/>
      <c r="H187" s="743"/>
      <c r="I187" s="743"/>
      <c r="J187" s="744"/>
    </row>
    <row r="188" spans="1:10" ht="12.75" customHeight="1" x14ac:dyDescent="0.2">
      <c r="A188" s="742"/>
      <c r="B188" s="743"/>
      <c r="C188" s="743"/>
      <c r="D188" s="743"/>
      <c r="E188" s="743"/>
      <c r="F188" s="743"/>
      <c r="G188" s="743"/>
      <c r="H188" s="743"/>
      <c r="I188" s="743"/>
      <c r="J188" s="744"/>
    </row>
    <row r="189" spans="1:10" ht="12.75" customHeight="1" x14ac:dyDescent="0.2">
      <c r="A189" s="742"/>
      <c r="B189" s="743"/>
      <c r="C189" s="743"/>
      <c r="D189" s="743"/>
      <c r="E189" s="743"/>
      <c r="F189" s="743"/>
      <c r="G189" s="743"/>
      <c r="H189" s="743"/>
      <c r="I189" s="743"/>
      <c r="J189" s="744"/>
    </row>
    <row r="190" spans="1:10" ht="12.75" customHeight="1" x14ac:dyDescent="0.2">
      <c r="A190" s="742"/>
      <c r="B190" s="743"/>
      <c r="C190" s="743"/>
      <c r="D190" s="743"/>
      <c r="E190" s="743"/>
      <c r="F190" s="743"/>
      <c r="G190" s="743"/>
      <c r="H190" s="743"/>
      <c r="I190" s="743"/>
      <c r="J190" s="744"/>
    </row>
    <row r="191" spans="1:10" ht="12.75" customHeight="1" x14ac:dyDescent="0.2">
      <c r="A191" s="742"/>
      <c r="B191" s="743"/>
      <c r="C191" s="743"/>
      <c r="D191" s="743"/>
      <c r="E191" s="743"/>
      <c r="F191" s="743"/>
      <c r="G191" s="743"/>
      <c r="H191" s="743"/>
      <c r="I191" s="743"/>
      <c r="J191" s="744"/>
    </row>
    <row r="192" spans="1:10" ht="12.75" customHeight="1" x14ac:dyDescent="0.2">
      <c r="A192" s="742"/>
      <c r="B192" s="743"/>
      <c r="C192" s="743"/>
      <c r="D192" s="743"/>
      <c r="E192" s="743"/>
      <c r="F192" s="743"/>
      <c r="G192" s="743"/>
      <c r="H192" s="743"/>
      <c r="I192" s="743"/>
      <c r="J192" s="744"/>
    </row>
    <row r="193" spans="1:10" ht="12.75" customHeight="1" x14ac:dyDescent="0.2">
      <c r="A193" s="742"/>
      <c r="B193" s="743"/>
      <c r="C193" s="743"/>
      <c r="D193" s="743"/>
      <c r="E193" s="743"/>
      <c r="F193" s="743"/>
      <c r="G193" s="743"/>
      <c r="H193" s="743"/>
      <c r="I193" s="743"/>
      <c r="J193" s="744"/>
    </row>
    <row r="194" spans="1:10" ht="12.75" customHeight="1" x14ac:dyDescent="0.2">
      <c r="A194" s="742"/>
      <c r="B194" s="743"/>
      <c r="C194" s="743"/>
      <c r="D194" s="743"/>
      <c r="E194" s="743"/>
      <c r="F194" s="743"/>
      <c r="G194" s="743"/>
      <c r="H194" s="743"/>
      <c r="I194" s="743"/>
      <c r="J194" s="744"/>
    </row>
    <row r="195" spans="1:10" ht="12.75" customHeight="1" x14ac:dyDescent="0.2">
      <c r="A195" s="742"/>
      <c r="B195" s="743"/>
      <c r="C195" s="743"/>
      <c r="D195" s="743"/>
      <c r="E195" s="743"/>
      <c r="F195" s="743"/>
      <c r="G195" s="743"/>
      <c r="H195" s="743"/>
      <c r="I195" s="743"/>
      <c r="J195" s="744"/>
    </row>
    <row r="196" spans="1:10" ht="12.75" customHeight="1" x14ac:dyDescent="0.2">
      <c r="A196" s="742"/>
      <c r="B196" s="743"/>
      <c r="C196" s="743"/>
      <c r="D196" s="743"/>
      <c r="E196" s="743"/>
      <c r="F196" s="743"/>
      <c r="G196" s="743"/>
      <c r="H196" s="743"/>
      <c r="I196" s="743"/>
      <c r="J196" s="744"/>
    </row>
    <row r="197" spans="1:10" ht="12.75" customHeight="1" x14ac:dyDescent="0.2">
      <c r="A197" s="742"/>
      <c r="B197" s="743"/>
      <c r="C197" s="743"/>
      <c r="D197" s="743"/>
      <c r="E197" s="743"/>
      <c r="F197" s="743"/>
      <c r="G197" s="743"/>
      <c r="H197" s="743"/>
      <c r="I197" s="743"/>
      <c r="J197" s="744"/>
    </row>
    <row r="198" spans="1:10" ht="12.75" customHeight="1" x14ac:dyDescent="0.2">
      <c r="A198" s="742"/>
      <c r="B198" s="743"/>
      <c r="C198" s="743"/>
      <c r="D198" s="743"/>
      <c r="E198" s="743"/>
      <c r="F198" s="743"/>
      <c r="G198" s="743"/>
      <c r="H198" s="743"/>
      <c r="I198" s="743"/>
      <c r="J198" s="744"/>
    </row>
    <row r="199" spans="1:10" ht="12.75" customHeight="1" x14ac:dyDescent="0.2">
      <c r="A199" s="742"/>
      <c r="B199" s="743"/>
      <c r="C199" s="743"/>
      <c r="D199" s="743"/>
      <c r="E199" s="743"/>
      <c r="F199" s="743"/>
      <c r="G199" s="743"/>
      <c r="H199" s="743"/>
      <c r="I199" s="743"/>
      <c r="J199" s="744"/>
    </row>
    <row r="200" spans="1:10" ht="12.75" customHeight="1" x14ac:dyDescent="0.2">
      <c r="A200" s="742"/>
      <c r="B200" s="743"/>
      <c r="C200" s="743"/>
      <c r="D200" s="743"/>
      <c r="E200" s="743"/>
      <c r="F200" s="743"/>
      <c r="G200" s="743"/>
      <c r="H200" s="743"/>
      <c r="I200" s="743"/>
      <c r="J200" s="744"/>
    </row>
    <row r="201" spans="1:10" ht="12.75" customHeight="1" x14ac:dyDescent="0.2">
      <c r="A201" s="742"/>
      <c r="B201" s="743"/>
      <c r="C201" s="743"/>
      <c r="D201" s="743"/>
      <c r="E201" s="743"/>
      <c r="F201" s="743"/>
      <c r="G201" s="743"/>
      <c r="H201" s="743"/>
      <c r="I201" s="743"/>
      <c r="J201" s="744"/>
    </row>
    <row r="202" spans="1:10" ht="12.75" customHeight="1" x14ac:dyDescent="0.2">
      <c r="A202" s="742"/>
      <c r="B202" s="743"/>
      <c r="C202" s="743"/>
      <c r="D202" s="743"/>
      <c r="E202" s="743"/>
      <c r="F202" s="743"/>
      <c r="G202" s="743"/>
      <c r="H202" s="743"/>
      <c r="I202" s="743"/>
      <c r="J202" s="744"/>
    </row>
    <row r="203" spans="1:10" ht="12.75" customHeight="1" x14ac:dyDescent="0.2">
      <c r="A203" s="742"/>
      <c r="B203" s="743"/>
      <c r="C203" s="743"/>
      <c r="D203" s="743"/>
      <c r="E203" s="743"/>
      <c r="F203" s="743"/>
      <c r="G203" s="743"/>
      <c r="H203" s="743"/>
      <c r="I203" s="743"/>
      <c r="J203" s="744"/>
    </row>
    <row r="204" spans="1:10" ht="12.75" customHeight="1" x14ac:dyDescent="0.2">
      <c r="A204" s="742"/>
      <c r="B204" s="743"/>
      <c r="C204" s="743"/>
      <c r="D204" s="743"/>
      <c r="E204" s="743"/>
      <c r="F204" s="743"/>
      <c r="G204" s="743"/>
      <c r="H204" s="743"/>
      <c r="I204" s="743"/>
      <c r="J204" s="744"/>
    </row>
    <row r="205" spans="1:10" ht="12.75" customHeight="1" x14ac:dyDescent="0.2">
      <c r="A205" s="742"/>
      <c r="B205" s="743"/>
      <c r="C205" s="743"/>
      <c r="D205" s="743"/>
      <c r="E205" s="743"/>
      <c r="F205" s="743"/>
      <c r="G205" s="743"/>
      <c r="H205" s="743"/>
      <c r="I205" s="743"/>
      <c r="J205" s="744"/>
    </row>
    <row r="206" spans="1:10" ht="12.75" customHeight="1" x14ac:dyDescent="0.2">
      <c r="A206" s="742"/>
      <c r="B206" s="743"/>
      <c r="C206" s="743"/>
      <c r="D206" s="743"/>
      <c r="E206" s="743"/>
      <c r="F206" s="743"/>
      <c r="G206" s="743"/>
      <c r="H206" s="743"/>
      <c r="I206" s="743"/>
      <c r="J206" s="744"/>
    </row>
    <row r="207" spans="1:10" ht="12.75" customHeight="1" x14ac:dyDescent="0.2">
      <c r="A207" s="742"/>
      <c r="B207" s="743"/>
      <c r="C207" s="743"/>
      <c r="D207" s="743"/>
      <c r="E207" s="743"/>
      <c r="F207" s="743"/>
      <c r="G207" s="743"/>
      <c r="H207" s="743"/>
      <c r="I207" s="743"/>
      <c r="J207" s="744"/>
    </row>
    <row r="208" spans="1:10" ht="12.75" customHeight="1" x14ac:dyDescent="0.2">
      <c r="A208" s="742"/>
      <c r="B208" s="743"/>
      <c r="C208" s="743"/>
      <c r="D208" s="743"/>
      <c r="E208" s="743"/>
      <c r="F208" s="743"/>
      <c r="G208" s="743"/>
      <c r="H208" s="743"/>
      <c r="I208" s="743"/>
      <c r="J208" s="744"/>
    </row>
    <row r="209" spans="1:10" ht="12.75" customHeight="1" x14ac:dyDescent="0.2">
      <c r="A209" s="742"/>
      <c r="B209" s="743"/>
      <c r="C209" s="743"/>
      <c r="D209" s="743"/>
      <c r="E209" s="743"/>
      <c r="F209" s="743"/>
      <c r="G209" s="743"/>
      <c r="H209" s="743"/>
      <c r="I209" s="743"/>
      <c r="J209" s="744"/>
    </row>
    <row r="210" spans="1:10" ht="12.75" customHeight="1" x14ac:dyDescent="0.2">
      <c r="A210" s="742"/>
      <c r="B210" s="743"/>
      <c r="C210" s="743"/>
      <c r="D210" s="743"/>
      <c r="E210" s="743"/>
      <c r="F210" s="743"/>
      <c r="G210" s="743"/>
      <c r="H210" s="743"/>
      <c r="I210" s="743"/>
      <c r="J210" s="744"/>
    </row>
    <row r="211" spans="1:10" s="61" customFormat="1" x14ac:dyDescent="0.2">
      <c r="A211" s="55"/>
      <c r="B211" s="56"/>
      <c r="C211" s="57"/>
      <c r="D211" s="58"/>
      <c r="E211" s="58"/>
      <c r="F211" s="58"/>
      <c r="G211" s="58"/>
      <c r="H211" s="59"/>
      <c r="I211" s="57"/>
      <c r="J211" s="60"/>
    </row>
    <row r="212" spans="1:10" s="61" customFormat="1" ht="25.5" customHeight="1" x14ac:dyDescent="0.2">
      <c r="A212" s="751" t="s">
        <v>199</v>
      </c>
      <c r="B212" s="752"/>
      <c r="C212" s="752"/>
      <c r="D212" s="752"/>
      <c r="E212" s="752"/>
      <c r="F212" s="753"/>
      <c r="G212" s="754"/>
      <c r="H212" s="754"/>
      <c r="I212" s="754"/>
      <c r="J212" s="755"/>
    </row>
    <row r="213" spans="1:10" s="61" customFormat="1" ht="12.75" customHeight="1" x14ac:dyDescent="0.2">
      <c r="A213" s="475" t="s">
        <v>301</v>
      </c>
      <c r="B213" s="476"/>
      <c r="C213" s="476"/>
      <c r="D213" s="476"/>
      <c r="E213" s="476"/>
      <c r="F213" s="746"/>
      <c r="G213" s="746"/>
      <c r="H213" s="746"/>
      <c r="I213" s="746"/>
      <c r="J213" s="747"/>
    </row>
    <row r="214" spans="1:10" ht="12.75" customHeight="1" x14ac:dyDescent="0.2">
      <c r="A214" s="721" t="s">
        <v>368</v>
      </c>
      <c r="B214" s="722"/>
      <c r="C214" s="722"/>
      <c r="D214" s="722"/>
      <c r="E214" s="722"/>
      <c r="F214" s="722"/>
      <c r="G214" s="722"/>
      <c r="H214" s="722"/>
      <c r="I214" s="722"/>
      <c r="J214" s="723"/>
    </row>
    <row r="215" spans="1:10" ht="12.75" customHeight="1" x14ac:dyDescent="0.2">
      <c r="A215" s="724"/>
      <c r="B215" s="725"/>
      <c r="C215" s="725"/>
      <c r="D215" s="725"/>
      <c r="E215" s="725"/>
      <c r="F215" s="725"/>
      <c r="G215" s="725"/>
      <c r="H215" s="725"/>
      <c r="I215" s="725"/>
      <c r="J215" s="726"/>
    </row>
    <row r="216" spans="1:10" ht="12.75" customHeight="1" x14ac:dyDescent="0.2">
      <c r="A216" s="724"/>
      <c r="B216" s="725"/>
      <c r="C216" s="725"/>
      <c r="D216" s="725"/>
      <c r="E216" s="725"/>
      <c r="F216" s="725"/>
      <c r="G216" s="725"/>
      <c r="H216" s="725"/>
      <c r="I216" s="725"/>
      <c r="J216" s="726"/>
    </row>
    <row r="217" spans="1:10" ht="15" customHeight="1" x14ac:dyDescent="0.2">
      <c r="A217" s="727"/>
      <c r="B217" s="728"/>
      <c r="C217" s="728"/>
      <c r="D217" s="728"/>
      <c r="E217" s="728"/>
      <c r="F217" s="728"/>
      <c r="G217" s="728"/>
      <c r="H217" s="728"/>
      <c r="I217" s="728"/>
      <c r="J217" s="729"/>
    </row>
    <row r="218" spans="1:10" ht="12.75" customHeight="1" x14ac:dyDescent="0.2">
      <c r="A218" s="742"/>
      <c r="B218" s="743"/>
      <c r="C218" s="743"/>
      <c r="D218" s="743"/>
      <c r="E218" s="743"/>
      <c r="F218" s="743"/>
      <c r="G218" s="743"/>
      <c r="H218" s="743"/>
      <c r="I218" s="743"/>
      <c r="J218" s="744"/>
    </row>
    <row r="219" spans="1:10" ht="12.75" customHeight="1" x14ac:dyDescent="0.2">
      <c r="A219" s="742"/>
      <c r="B219" s="743"/>
      <c r="C219" s="743"/>
      <c r="D219" s="743"/>
      <c r="E219" s="743"/>
      <c r="F219" s="743"/>
      <c r="G219" s="743"/>
      <c r="H219" s="743"/>
      <c r="I219" s="743"/>
      <c r="J219" s="744"/>
    </row>
    <row r="220" spans="1:10" ht="12.75" customHeight="1" x14ac:dyDescent="0.2">
      <c r="A220" s="742"/>
      <c r="B220" s="743"/>
      <c r="C220" s="743"/>
      <c r="D220" s="743"/>
      <c r="E220" s="743"/>
      <c r="F220" s="743"/>
      <c r="G220" s="743"/>
      <c r="H220" s="743"/>
      <c r="I220" s="743"/>
      <c r="J220" s="744"/>
    </row>
    <row r="221" spans="1:10" ht="12.75" customHeight="1" x14ac:dyDescent="0.2">
      <c r="A221" s="742"/>
      <c r="B221" s="743"/>
      <c r="C221" s="743"/>
      <c r="D221" s="743"/>
      <c r="E221" s="743"/>
      <c r="F221" s="743"/>
      <c r="G221" s="743"/>
      <c r="H221" s="743"/>
      <c r="I221" s="743"/>
      <c r="J221" s="744"/>
    </row>
    <row r="222" spans="1:10" ht="12.75" customHeight="1" x14ac:dyDescent="0.2">
      <c r="A222" s="742"/>
      <c r="B222" s="743"/>
      <c r="C222" s="743"/>
      <c r="D222" s="743"/>
      <c r="E222" s="743"/>
      <c r="F222" s="743"/>
      <c r="G222" s="743"/>
      <c r="H222" s="743"/>
      <c r="I222" s="743"/>
      <c r="J222" s="744"/>
    </row>
    <row r="223" spans="1:10" ht="12.75" customHeight="1" x14ac:dyDescent="0.2">
      <c r="A223" s="742"/>
      <c r="B223" s="743"/>
      <c r="C223" s="743"/>
      <c r="D223" s="743"/>
      <c r="E223" s="743"/>
      <c r="F223" s="743"/>
      <c r="G223" s="743"/>
      <c r="H223" s="743"/>
      <c r="I223" s="743"/>
      <c r="J223" s="744"/>
    </row>
    <row r="224" spans="1:10" ht="12.75" customHeight="1" x14ac:dyDescent="0.2">
      <c r="A224" s="742"/>
      <c r="B224" s="743"/>
      <c r="C224" s="743"/>
      <c r="D224" s="743"/>
      <c r="E224" s="743"/>
      <c r="F224" s="743"/>
      <c r="G224" s="743"/>
      <c r="H224" s="743"/>
      <c r="I224" s="743"/>
      <c r="J224" s="744"/>
    </row>
    <row r="225" spans="1:10" ht="12.75" customHeight="1" x14ac:dyDescent="0.2">
      <c r="A225" s="742"/>
      <c r="B225" s="743"/>
      <c r="C225" s="743"/>
      <c r="D225" s="743"/>
      <c r="E225" s="743"/>
      <c r="F225" s="743"/>
      <c r="G225" s="743"/>
      <c r="H225" s="743"/>
      <c r="I225" s="743"/>
      <c r="J225" s="744"/>
    </row>
    <row r="226" spans="1:10" ht="12.75" customHeight="1" x14ac:dyDescent="0.2">
      <c r="A226" s="742"/>
      <c r="B226" s="743"/>
      <c r="C226" s="743"/>
      <c r="D226" s="743"/>
      <c r="E226" s="743"/>
      <c r="F226" s="743"/>
      <c r="G226" s="743"/>
      <c r="H226" s="743"/>
      <c r="I226" s="743"/>
      <c r="J226" s="744"/>
    </row>
    <row r="227" spans="1:10" ht="12.75" customHeight="1" x14ac:dyDescent="0.2">
      <c r="A227" s="742"/>
      <c r="B227" s="743"/>
      <c r="C227" s="743"/>
      <c r="D227" s="743"/>
      <c r="E227" s="743"/>
      <c r="F227" s="743"/>
      <c r="G227" s="743"/>
      <c r="H227" s="743"/>
      <c r="I227" s="743"/>
      <c r="J227" s="744"/>
    </row>
    <row r="228" spans="1:10" ht="12.75" customHeight="1" x14ac:dyDescent="0.2">
      <c r="A228" s="742"/>
      <c r="B228" s="743"/>
      <c r="C228" s="743"/>
      <c r="D228" s="743"/>
      <c r="E228" s="743"/>
      <c r="F228" s="743"/>
      <c r="G228" s="743"/>
      <c r="H228" s="743"/>
      <c r="I228" s="743"/>
      <c r="J228" s="744"/>
    </row>
    <row r="229" spans="1:10" ht="12.75" customHeight="1" x14ac:dyDescent="0.2">
      <c r="A229" s="742"/>
      <c r="B229" s="743"/>
      <c r="C229" s="743"/>
      <c r="D229" s="743"/>
      <c r="E229" s="743"/>
      <c r="F229" s="743"/>
      <c r="G229" s="743"/>
      <c r="H229" s="743"/>
      <c r="I229" s="743"/>
      <c r="J229" s="744"/>
    </row>
    <row r="230" spans="1:10" ht="12.75" customHeight="1" x14ac:dyDescent="0.2">
      <c r="A230" s="742"/>
      <c r="B230" s="743"/>
      <c r="C230" s="743"/>
      <c r="D230" s="743"/>
      <c r="E230" s="743"/>
      <c r="F230" s="743"/>
      <c r="G230" s="743"/>
      <c r="H230" s="743"/>
      <c r="I230" s="743"/>
      <c r="J230" s="744"/>
    </row>
    <row r="231" spans="1:10" ht="12.75" customHeight="1" x14ac:dyDescent="0.2">
      <c r="A231" s="742"/>
      <c r="B231" s="743"/>
      <c r="C231" s="743"/>
      <c r="D231" s="743"/>
      <c r="E231" s="743"/>
      <c r="F231" s="743"/>
      <c r="G231" s="743"/>
      <c r="H231" s="743"/>
      <c r="I231" s="743"/>
      <c r="J231" s="744"/>
    </row>
    <row r="232" spans="1:10" ht="12.75" customHeight="1" x14ac:dyDescent="0.2">
      <c r="A232" s="742"/>
      <c r="B232" s="743"/>
      <c r="C232" s="743"/>
      <c r="D232" s="743"/>
      <c r="E232" s="743"/>
      <c r="F232" s="743"/>
      <c r="G232" s="743"/>
      <c r="H232" s="743"/>
      <c r="I232" s="743"/>
      <c r="J232" s="744"/>
    </row>
    <row r="233" spans="1:10" ht="12.75" customHeight="1" x14ac:dyDescent="0.2">
      <c r="A233" s="742"/>
      <c r="B233" s="743"/>
      <c r="C233" s="743"/>
      <c r="D233" s="743"/>
      <c r="E233" s="743"/>
      <c r="F233" s="743"/>
      <c r="G233" s="743"/>
      <c r="H233" s="743"/>
      <c r="I233" s="743"/>
      <c r="J233" s="744"/>
    </row>
    <row r="234" spans="1:10" ht="12.75" customHeight="1" x14ac:dyDescent="0.2">
      <c r="A234" s="742"/>
      <c r="B234" s="743"/>
      <c r="C234" s="743"/>
      <c r="D234" s="743"/>
      <c r="E234" s="743"/>
      <c r="F234" s="743"/>
      <c r="G234" s="743"/>
      <c r="H234" s="743"/>
      <c r="I234" s="743"/>
      <c r="J234" s="744"/>
    </row>
    <row r="235" spans="1:10" ht="12.75" customHeight="1" x14ac:dyDescent="0.2">
      <c r="A235" s="742"/>
      <c r="B235" s="743"/>
      <c r="C235" s="743"/>
      <c r="D235" s="743"/>
      <c r="E235" s="743"/>
      <c r="F235" s="743"/>
      <c r="G235" s="743"/>
      <c r="H235" s="743"/>
      <c r="I235" s="743"/>
      <c r="J235" s="744"/>
    </row>
    <row r="236" spans="1:10" ht="12.75" customHeight="1" x14ac:dyDescent="0.2">
      <c r="A236" s="742"/>
      <c r="B236" s="743"/>
      <c r="C236" s="743"/>
      <c r="D236" s="743"/>
      <c r="E236" s="743"/>
      <c r="F236" s="743"/>
      <c r="G236" s="743"/>
      <c r="H236" s="743"/>
      <c r="I236" s="743"/>
      <c r="J236" s="744"/>
    </row>
    <row r="237" spans="1:10" ht="12.75" customHeight="1" x14ac:dyDescent="0.2">
      <c r="A237" s="742"/>
      <c r="B237" s="743"/>
      <c r="C237" s="743"/>
      <c r="D237" s="743"/>
      <c r="E237" s="743"/>
      <c r="F237" s="743"/>
      <c r="G237" s="743"/>
      <c r="H237" s="743"/>
      <c r="I237" s="743"/>
      <c r="J237" s="744"/>
    </row>
    <row r="238" spans="1:10" ht="12.75" customHeight="1" x14ac:dyDescent="0.2">
      <c r="A238" s="742"/>
      <c r="B238" s="743"/>
      <c r="C238" s="743"/>
      <c r="D238" s="743"/>
      <c r="E238" s="743"/>
      <c r="F238" s="743"/>
      <c r="G238" s="743"/>
      <c r="H238" s="743"/>
      <c r="I238" s="743"/>
      <c r="J238" s="744"/>
    </row>
    <row r="239" spans="1:10" ht="12.75" customHeight="1" x14ac:dyDescent="0.2">
      <c r="A239" s="742"/>
      <c r="B239" s="743"/>
      <c r="C239" s="743"/>
      <c r="D239" s="743"/>
      <c r="E239" s="743"/>
      <c r="F239" s="743"/>
      <c r="G239" s="743"/>
      <c r="H239" s="743"/>
      <c r="I239" s="743"/>
      <c r="J239" s="744"/>
    </row>
    <row r="240" spans="1:10" ht="12.75" customHeight="1" x14ac:dyDescent="0.2">
      <c r="A240" s="742"/>
      <c r="B240" s="743"/>
      <c r="C240" s="743"/>
      <c r="D240" s="743"/>
      <c r="E240" s="743"/>
      <c r="F240" s="743"/>
      <c r="G240" s="743"/>
      <c r="H240" s="743"/>
      <c r="I240" s="743"/>
      <c r="J240" s="744"/>
    </row>
    <row r="241" spans="1:10" ht="12.75" customHeight="1" x14ac:dyDescent="0.2">
      <c r="A241" s="742"/>
      <c r="B241" s="743"/>
      <c r="C241" s="743"/>
      <c r="D241" s="743"/>
      <c r="E241" s="743"/>
      <c r="F241" s="743"/>
      <c r="G241" s="743"/>
      <c r="H241" s="743"/>
      <c r="I241" s="743"/>
      <c r="J241" s="744"/>
    </row>
    <row r="242" spans="1:10" ht="12.75" customHeight="1" x14ac:dyDescent="0.2">
      <c r="A242" s="742"/>
      <c r="B242" s="743"/>
      <c r="C242" s="743"/>
      <c r="D242" s="743"/>
      <c r="E242" s="743"/>
      <c r="F242" s="743"/>
      <c r="G242" s="743"/>
      <c r="H242" s="743"/>
      <c r="I242" s="743"/>
      <c r="J242" s="744"/>
    </row>
    <row r="243" spans="1:10" ht="12.75" customHeight="1" x14ac:dyDescent="0.2">
      <c r="A243" s="742"/>
      <c r="B243" s="743"/>
      <c r="C243" s="743"/>
      <c r="D243" s="743"/>
      <c r="E243" s="743"/>
      <c r="F243" s="743"/>
      <c r="G243" s="743"/>
      <c r="H243" s="743"/>
      <c r="I243" s="743"/>
      <c r="J243" s="744"/>
    </row>
    <row r="244" spans="1:10" ht="12.75" customHeight="1" x14ac:dyDescent="0.2">
      <c r="A244" s="742"/>
      <c r="B244" s="743"/>
      <c r="C244" s="743"/>
      <c r="D244" s="743"/>
      <c r="E244" s="743"/>
      <c r="F244" s="743"/>
      <c r="G244" s="743"/>
      <c r="H244" s="743"/>
      <c r="I244" s="743"/>
      <c r="J244" s="744"/>
    </row>
    <row r="245" spans="1:10" ht="12.75" customHeight="1" x14ac:dyDescent="0.2">
      <c r="A245" s="742"/>
      <c r="B245" s="743"/>
      <c r="C245" s="743"/>
      <c r="D245" s="743"/>
      <c r="E245" s="743"/>
      <c r="F245" s="743"/>
      <c r="G245" s="743"/>
      <c r="H245" s="743"/>
      <c r="I245" s="743"/>
      <c r="J245" s="744"/>
    </row>
    <row r="246" spans="1:10" ht="12.75" customHeight="1" x14ac:dyDescent="0.2">
      <c r="A246" s="742"/>
      <c r="B246" s="743"/>
      <c r="C246" s="743"/>
      <c r="D246" s="743"/>
      <c r="E246" s="743"/>
      <c r="F246" s="743"/>
      <c r="G246" s="743"/>
      <c r="H246" s="743"/>
      <c r="I246" s="743"/>
      <c r="J246" s="744"/>
    </row>
    <row r="247" spans="1:10" ht="12.75" customHeight="1" x14ac:dyDescent="0.2">
      <c r="A247" s="742"/>
      <c r="B247" s="743"/>
      <c r="C247" s="743"/>
      <c r="D247" s="743"/>
      <c r="E247" s="743"/>
      <c r="F247" s="743"/>
      <c r="G247" s="743"/>
      <c r="H247" s="743"/>
      <c r="I247" s="743"/>
      <c r="J247" s="744"/>
    </row>
    <row r="248" spans="1:10" ht="12.75" customHeight="1" x14ac:dyDescent="0.2">
      <c r="A248" s="742"/>
      <c r="B248" s="743"/>
      <c r="C248" s="743"/>
      <c r="D248" s="743"/>
      <c r="E248" s="743"/>
      <c r="F248" s="743"/>
      <c r="G248" s="743"/>
      <c r="H248" s="743"/>
      <c r="I248" s="743"/>
      <c r="J248" s="744"/>
    </row>
    <row r="249" spans="1:10" ht="12.75" customHeight="1" x14ac:dyDescent="0.2">
      <c r="A249" s="742"/>
      <c r="B249" s="743"/>
      <c r="C249" s="743"/>
      <c r="D249" s="743"/>
      <c r="E249" s="743"/>
      <c r="F249" s="743"/>
      <c r="G249" s="743"/>
      <c r="H249" s="743"/>
      <c r="I249" s="743"/>
      <c r="J249" s="744"/>
    </row>
    <row r="250" spans="1:10" ht="12.75" customHeight="1" x14ac:dyDescent="0.2">
      <c r="A250" s="742"/>
      <c r="B250" s="743"/>
      <c r="C250" s="743"/>
      <c r="D250" s="743"/>
      <c r="E250" s="743"/>
      <c r="F250" s="743"/>
      <c r="G250" s="743"/>
      <c r="H250" s="743"/>
      <c r="I250" s="743"/>
      <c r="J250" s="744"/>
    </row>
    <row r="251" spans="1:10" ht="12.75" customHeight="1" x14ac:dyDescent="0.2">
      <c r="A251" s="742"/>
      <c r="B251" s="743"/>
      <c r="C251" s="743"/>
      <c r="D251" s="743"/>
      <c r="E251" s="743"/>
      <c r="F251" s="743"/>
      <c r="G251" s="743"/>
      <c r="H251" s="743"/>
      <c r="I251" s="743"/>
      <c r="J251" s="744"/>
    </row>
    <row r="252" spans="1:10" ht="12.75" customHeight="1" x14ac:dyDescent="0.2">
      <c r="A252" s="742"/>
      <c r="B252" s="743"/>
      <c r="C252" s="743"/>
      <c r="D252" s="743"/>
      <c r="E252" s="743"/>
      <c r="F252" s="743"/>
      <c r="G252" s="743"/>
      <c r="H252" s="743"/>
      <c r="I252" s="743"/>
      <c r="J252" s="744"/>
    </row>
    <row r="253" spans="1:10" s="61" customFormat="1" x14ac:dyDescent="0.2">
      <c r="A253" s="55"/>
      <c r="B253" s="56"/>
      <c r="C253" s="57"/>
      <c r="D253" s="58"/>
      <c r="E253" s="58"/>
      <c r="F253" s="58"/>
      <c r="G253" s="58"/>
      <c r="H253" s="59"/>
      <c r="I253" s="57"/>
      <c r="J253" s="60"/>
    </row>
    <row r="254" spans="1:10" s="61" customFormat="1" ht="25.5" customHeight="1" x14ac:dyDescent="0.2">
      <c r="A254" s="751" t="s">
        <v>198</v>
      </c>
      <c r="B254" s="752"/>
      <c r="C254" s="752"/>
      <c r="D254" s="752"/>
      <c r="E254" s="752"/>
      <c r="F254" s="753"/>
      <c r="G254" s="754"/>
      <c r="H254" s="754"/>
      <c r="I254" s="754"/>
      <c r="J254" s="755"/>
    </row>
    <row r="255" spans="1:10" s="61" customFormat="1" ht="12.75" customHeight="1" x14ac:dyDescent="0.2">
      <c r="A255" s="475" t="s">
        <v>301</v>
      </c>
      <c r="B255" s="476"/>
      <c r="C255" s="476"/>
      <c r="D255" s="476"/>
      <c r="E255" s="476"/>
      <c r="F255" s="746"/>
      <c r="G255" s="746"/>
      <c r="H255" s="746"/>
      <c r="I255" s="746"/>
      <c r="J255" s="747"/>
    </row>
    <row r="256" spans="1:10" ht="12.75" customHeight="1" x14ac:dyDescent="0.2">
      <c r="A256" s="721" t="s">
        <v>368</v>
      </c>
      <c r="B256" s="722"/>
      <c r="C256" s="722"/>
      <c r="D256" s="722"/>
      <c r="E256" s="722"/>
      <c r="F256" s="722"/>
      <c r="G256" s="722"/>
      <c r="H256" s="722"/>
      <c r="I256" s="722"/>
      <c r="J256" s="723"/>
    </row>
    <row r="257" spans="1:10" ht="12.75" customHeight="1" x14ac:dyDescent="0.2">
      <c r="A257" s="724"/>
      <c r="B257" s="725"/>
      <c r="C257" s="725"/>
      <c r="D257" s="725"/>
      <c r="E257" s="725"/>
      <c r="F257" s="725"/>
      <c r="G257" s="725"/>
      <c r="H257" s="725"/>
      <c r="I257" s="725"/>
      <c r="J257" s="726"/>
    </row>
    <row r="258" spans="1:10" ht="12.75" customHeight="1" x14ac:dyDescent="0.2">
      <c r="A258" s="724"/>
      <c r="B258" s="725"/>
      <c r="C258" s="725"/>
      <c r="D258" s="725"/>
      <c r="E258" s="725"/>
      <c r="F258" s="725"/>
      <c r="G258" s="725"/>
      <c r="H258" s="725"/>
      <c r="I258" s="725"/>
      <c r="J258" s="726"/>
    </row>
    <row r="259" spans="1:10" ht="15" customHeight="1" x14ac:dyDescent="0.2">
      <c r="A259" s="727"/>
      <c r="B259" s="728"/>
      <c r="C259" s="728"/>
      <c r="D259" s="728"/>
      <c r="E259" s="728"/>
      <c r="F259" s="728"/>
      <c r="G259" s="728"/>
      <c r="H259" s="728"/>
      <c r="I259" s="728"/>
      <c r="J259" s="729"/>
    </row>
    <row r="260" spans="1:10" ht="12.75" customHeight="1" x14ac:dyDescent="0.2">
      <c r="A260" s="742"/>
      <c r="B260" s="743"/>
      <c r="C260" s="743"/>
      <c r="D260" s="743"/>
      <c r="E260" s="743"/>
      <c r="F260" s="743"/>
      <c r="G260" s="743"/>
      <c r="H260" s="743"/>
      <c r="I260" s="743"/>
      <c r="J260" s="744"/>
    </row>
    <row r="261" spans="1:10" ht="12.75" customHeight="1" x14ac:dyDescent="0.2">
      <c r="A261" s="742"/>
      <c r="B261" s="743"/>
      <c r="C261" s="743"/>
      <c r="D261" s="743"/>
      <c r="E261" s="743"/>
      <c r="F261" s="743"/>
      <c r="G261" s="743"/>
      <c r="H261" s="743"/>
      <c r="I261" s="743"/>
      <c r="J261" s="744"/>
    </row>
    <row r="262" spans="1:10" ht="12.75" customHeight="1" x14ac:dyDescent="0.2">
      <c r="A262" s="742"/>
      <c r="B262" s="743"/>
      <c r="C262" s="743"/>
      <c r="D262" s="743"/>
      <c r="E262" s="743"/>
      <c r="F262" s="743"/>
      <c r="G262" s="743"/>
      <c r="H262" s="743"/>
      <c r="I262" s="743"/>
      <c r="J262" s="744"/>
    </row>
    <row r="263" spans="1:10" ht="12.75" customHeight="1" x14ac:dyDescent="0.2">
      <c r="A263" s="742"/>
      <c r="B263" s="743"/>
      <c r="C263" s="743"/>
      <c r="D263" s="743"/>
      <c r="E263" s="743"/>
      <c r="F263" s="743"/>
      <c r="G263" s="743"/>
      <c r="H263" s="743"/>
      <c r="I263" s="743"/>
      <c r="J263" s="744"/>
    </row>
    <row r="264" spans="1:10" ht="12.75" customHeight="1" x14ac:dyDescent="0.2">
      <c r="A264" s="742"/>
      <c r="B264" s="743"/>
      <c r="C264" s="743"/>
      <c r="D264" s="743"/>
      <c r="E264" s="743"/>
      <c r="F264" s="743"/>
      <c r="G264" s="743"/>
      <c r="H264" s="743"/>
      <c r="I264" s="743"/>
      <c r="J264" s="744"/>
    </row>
    <row r="265" spans="1:10" ht="12.75" customHeight="1" x14ac:dyDescent="0.2">
      <c r="A265" s="742"/>
      <c r="B265" s="743"/>
      <c r="C265" s="743"/>
      <c r="D265" s="743"/>
      <c r="E265" s="743"/>
      <c r="F265" s="743"/>
      <c r="G265" s="743"/>
      <c r="H265" s="743"/>
      <c r="I265" s="743"/>
      <c r="J265" s="744"/>
    </row>
    <row r="266" spans="1:10" ht="12.75" customHeight="1" x14ac:dyDescent="0.2">
      <c r="A266" s="742"/>
      <c r="B266" s="743"/>
      <c r="C266" s="743"/>
      <c r="D266" s="743"/>
      <c r="E266" s="743"/>
      <c r="F266" s="743"/>
      <c r="G266" s="743"/>
      <c r="H266" s="743"/>
      <c r="I266" s="743"/>
      <c r="J266" s="744"/>
    </row>
    <row r="267" spans="1:10" ht="12.75" customHeight="1" x14ac:dyDescent="0.2">
      <c r="A267" s="742"/>
      <c r="B267" s="743"/>
      <c r="C267" s="743"/>
      <c r="D267" s="743"/>
      <c r="E267" s="743"/>
      <c r="F267" s="743"/>
      <c r="G267" s="743"/>
      <c r="H267" s="743"/>
      <c r="I267" s="743"/>
      <c r="J267" s="744"/>
    </row>
    <row r="268" spans="1:10" ht="12.75" customHeight="1" x14ac:dyDescent="0.2">
      <c r="A268" s="742"/>
      <c r="B268" s="743"/>
      <c r="C268" s="743"/>
      <c r="D268" s="743"/>
      <c r="E268" s="743"/>
      <c r="F268" s="743"/>
      <c r="G268" s="743"/>
      <c r="H268" s="743"/>
      <c r="I268" s="743"/>
      <c r="J268" s="744"/>
    </row>
    <row r="269" spans="1:10" ht="12.75" customHeight="1" x14ac:dyDescent="0.2">
      <c r="A269" s="742"/>
      <c r="B269" s="743"/>
      <c r="C269" s="743"/>
      <c r="D269" s="743"/>
      <c r="E269" s="743"/>
      <c r="F269" s="743"/>
      <c r="G269" s="743"/>
      <c r="H269" s="743"/>
      <c r="I269" s="743"/>
      <c r="J269" s="744"/>
    </row>
    <row r="270" spans="1:10" ht="12.75" customHeight="1" x14ac:dyDescent="0.2">
      <c r="A270" s="742"/>
      <c r="B270" s="743"/>
      <c r="C270" s="743"/>
      <c r="D270" s="743"/>
      <c r="E270" s="743"/>
      <c r="F270" s="743"/>
      <c r="G270" s="743"/>
      <c r="H270" s="743"/>
      <c r="I270" s="743"/>
      <c r="J270" s="744"/>
    </row>
    <row r="271" spans="1:10" ht="12.75" customHeight="1" x14ac:dyDescent="0.2">
      <c r="A271" s="742"/>
      <c r="B271" s="743"/>
      <c r="C271" s="743"/>
      <c r="D271" s="743"/>
      <c r="E271" s="743"/>
      <c r="F271" s="743"/>
      <c r="G271" s="743"/>
      <c r="H271" s="743"/>
      <c r="I271" s="743"/>
      <c r="J271" s="744"/>
    </row>
    <row r="272" spans="1:10" ht="12.75" customHeight="1" x14ac:dyDescent="0.2">
      <c r="A272" s="742"/>
      <c r="B272" s="743"/>
      <c r="C272" s="743"/>
      <c r="D272" s="743"/>
      <c r="E272" s="743"/>
      <c r="F272" s="743"/>
      <c r="G272" s="743"/>
      <c r="H272" s="743"/>
      <c r="I272" s="743"/>
      <c r="J272" s="744"/>
    </row>
    <row r="273" spans="1:10" ht="12.75" customHeight="1" x14ac:dyDescent="0.2">
      <c r="A273" s="742"/>
      <c r="B273" s="743"/>
      <c r="C273" s="743"/>
      <c r="D273" s="743"/>
      <c r="E273" s="743"/>
      <c r="F273" s="743"/>
      <c r="G273" s="743"/>
      <c r="H273" s="743"/>
      <c r="I273" s="743"/>
      <c r="J273" s="744"/>
    </row>
    <row r="274" spans="1:10" ht="12.75" customHeight="1" x14ac:dyDescent="0.2">
      <c r="A274" s="742"/>
      <c r="B274" s="743"/>
      <c r="C274" s="743"/>
      <c r="D274" s="743"/>
      <c r="E274" s="743"/>
      <c r="F274" s="743"/>
      <c r="G274" s="743"/>
      <c r="H274" s="743"/>
      <c r="I274" s="743"/>
      <c r="J274" s="744"/>
    </row>
    <row r="275" spans="1:10" ht="12.75" customHeight="1" x14ac:dyDescent="0.2">
      <c r="A275" s="742"/>
      <c r="B275" s="743"/>
      <c r="C275" s="743"/>
      <c r="D275" s="743"/>
      <c r="E275" s="743"/>
      <c r="F275" s="743"/>
      <c r="G275" s="743"/>
      <c r="H275" s="743"/>
      <c r="I275" s="743"/>
      <c r="J275" s="744"/>
    </row>
    <row r="276" spans="1:10" ht="12.75" customHeight="1" x14ac:dyDescent="0.2">
      <c r="A276" s="742"/>
      <c r="B276" s="743"/>
      <c r="C276" s="743"/>
      <c r="D276" s="743"/>
      <c r="E276" s="743"/>
      <c r="F276" s="743"/>
      <c r="G276" s="743"/>
      <c r="H276" s="743"/>
      <c r="I276" s="743"/>
      <c r="J276" s="744"/>
    </row>
    <row r="277" spans="1:10" ht="12.75" customHeight="1" x14ac:dyDescent="0.2">
      <c r="A277" s="742"/>
      <c r="B277" s="743"/>
      <c r="C277" s="743"/>
      <c r="D277" s="743"/>
      <c r="E277" s="743"/>
      <c r="F277" s="743"/>
      <c r="G277" s="743"/>
      <c r="H277" s="743"/>
      <c r="I277" s="743"/>
      <c r="J277" s="744"/>
    </row>
    <row r="278" spans="1:10" ht="12.75" customHeight="1" x14ac:dyDescent="0.2">
      <c r="A278" s="742"/>
      <c r="B278" s="743"/>
      <c r="C278" s="743"/>
      <c r="D278" s="743"/>
      <c r="E278" s="743"/>
      <c r="F278" s="743"/>
      <c r="G278" s="743"/>
      <c r="H278" s="743"/>
      <c r="I278" s="743"/>
      <c r="J278" s="744"/>
    </row>
    <row r="279" spans="1:10" ht="12.75" customHeight="1" x14ac:dyDescent="0.2">
      <c r="A279" s="742"/>
      <c r="B279" s="743"/>
      <c r="C279" s="743"/>
      <c r="D279" s="743"/>
      <c r="E279" s="743"/>
      <c r="F279" s="743"/>
      <c r="G279" s="743"/>
      <c r="H279" s="743"/>
      <c r="I279" s="743"/>
      <c r="J279" s="744"/>
    </row>
    <row r="280" spans="1:10" ht="12.75" customHeight="1" x14ac:dyDescent="0.2">
      <c r="A280" s="742"/>
      <c r="B280" s="743"/>
      <c r="C280" s="743"/>
      <c r="D280" s="743"/>
      <c r="E280" s="743"/>
      <c r="F280" s="743"/>
      <c r="G280" s="743"/>
      <c r="H280" s="743"/>
      <c r="I280" s="743"/>
      <c r="J280" s="744"/>
    </row>
    <row r="281" spans="1:10" ht="12.75" customHeight="1" x14ac:dyDescent="0.2">
      <c r="A281" s="742"/>
      <c r="B281" s="743"/>
      <c r="C281" s="743"/>
      <c r="D281" s="743"/>
      <c r="E281" s="743"/>
      <c r="F281" s="743"/>
      <c r="G281" s="743"/>
      <c r="H281" s="743"/>
      <c r="I281" s="743"/>
      <c r="J281" s="744"/>
    </row>
    <row r="282" spans="1:10" ht="12.75" customHeight="1" x14ac:dyDescent="0.2">
      <c r="A282" s="742"/>
      <c r="B282" s="743"/>
      <c r="C282" s="743"/>
      <c r="D282" s="743"/>
      <c r="E282" s="743"/>
      <c r="F282" s="743"/>
      <c r="G282" s="743"/>
      <c r="H282" s="743"/>
      <c r="I282" s="743"/>
      <c r="J282" s="744"/>
    </row>
    <row r="283" spans="1:10" ht="12.75" customHeight="1" x14ac:dyDescent="0.2">
      <c r="A283" s="742"/>
      <c r="B283" s="743"/>
      <c r="C283" s="743"/>
      <c r="D283" s="743"/>
      <c r="E283" s="743"/>
      <c r="F283" s="743"/>
      <c r="G283" s="743"/>
      <c r="H283" s="743"/>
      <c r="I283" s="743"/>
      <c r="J283" s="744"/>
    </row>
    <row r="284" spans="1:10" ht="12.75" customHeight="1" x14ac:dyDescent="0.2">
      <c r="A284" s="742"/>
      <c r="B284" s="743"/>
      <c r="C284" s="743"/>
      <c r="D284" s="743"/>
      <c r="E284" s="743"/>
      <c r="F284" s="743"/>
      <c r="G284" s="743"/>
      <c r="H284" s="743"/>
      <c r="I284" s="743"/>
      <c r="J284" s="744"/>
    </row>
    <row r="285" spans="1:10" ht="12.75" customHeight="1" x14ac:dyDescent="0.2">
      <c r="A285" s="742"/>
      <c r="B285" s="743"/>
      <c r="C285" s="743"/>
      <c r="D285" s="743"/>
      <c r="E285" s="743"/>
      <c r="F285" s="743"/>
      <c r="G285" s="743"/>
      <c r="H285" s="743"/>
      <c r="I285" s="743"/>
      <c r="J285" s="744"/>
    </row>
    <row r="286" spans="1:10" ht="12.75" customHeight="1" x14ac:dyDescent="0.2">
      <c r="A286" s="742"/>
      <c r="B286" s="743"/>
      <c r="C286" s="743"/>
      <c r="D286" s="743"/>
      <c r="E286" s="743"/>
      <c r="F286" s="743"/>
      <c r="G286" s="743"/>
      <c r="H286" s="743"/>
      <c r="I286" s="743"/>
      <c r="J286" s="744"/>
    </row>
    <row r="287" spans="1:10" ht="12.75" customHeight="1" x14ac:dyDescent="0.2">
      <c r="A287" s="742"/>
      <c r="B287" s="743"/>
      <c r="C287" s="743"/>
      <c r="D287" s="743"/>
      <c r="E287" s="743"/>
      <c r="F287" s="743"/>
      <c r="G287" s="743"/>
      <c r="H287" s="743"/>
      <c r="I287" s="743"/>
      <c r="J287" s="744"/>
    </row>
    <row r="288" spans="1:10" ht="12.75" customHeight="1" x14ac:dyDescent="0.2">
      <c r="A288" s="742"/>
      <c r="B288" s="743"/>
      <c r="C288" s="743"/>
      <c r="D288" s="743"/>
      <c r="E288" s="743"/>
      <c r="F288" s="743"/>
      <c r="G288" s="743"/>
      <c r="H288" s="743"/>
      <c r="I288" s="743"/>
      <c r="J288" s="744"/>
    </row>
    <row r="289" spans="1:10" ht="12.75" customHeight="1" x14ac:dyDescent="0.2">
      <c r="A289" s="742"/>
      <c r="B289" s="743"/>
      <c r="C289" s="743"/>
      <c r="D289" s="743"/>
      <c r="E289" s="743"/>
      <c r="F289" s="743"/>
      <c r="G289" s="743"/>
      <c r="H289" s="743"/>
      <c r="I289" s="743"/>
      <c r="J289" s="744"/>
    </row>
    <row r="290" spans="1:10" ht="12.75" customHeight="1" x14ac:dyDescent="0.2">
      <c r="A290" s="742"/>
      <c r="B290" s="743"/>
      <c r="C290" s="743"/>
      <c r="D290" s="743"/>
      <c r="E290" s="743"/>
      <c r="F290" s="743"/>
      <c r="G290" s="743"/>
      <c r="H290" s="743"/>
      <c r="I290" s="743"/>
      <c r="J290" s="744"/>
    </row>
    <row r="291" spans="1:10" ht="12.75" customHeight="1" x14ac:dyDescent="0.2">
      <c r="A291" s="742"/>
      <c r="B291" s="743"/>
      <c r="C291" s="743"/>
      <c r="D291" s="743"/>
      <c r="E291" s="743"/>
      <c r="F291" s="743"/>
      <c r="G291" s="743"/>
      <c r="H291" s="743"/>
      <c r="I291" s="743"/>
      <c r="J291" s="744"/>
    </row>
    <row r="292" spans="1:10" ht="12.75" customHeight="1" x14ac:dyDescent="0.2">
      <c r="A292" s="742"/>
      <c r="B292" s="743"/>
      <c r="C292" s="743"/>
      <c r="D292" s="743"/>
      <c r="E292" s="743"/>
      <c r="F292" s="743"/>
      <c r="G292" s="743"/>
      <c r="H292" s="743"/>
      <c r="I292" s="743"/>
      <c r="J292" s="744"/>
    </row>
    <row r="293" spans="1:10" ht="12.75" customHeight="1" x14ac:dyDescent="0.2">
      <c r="A293" s="742"/>
      <c r="B293" s="743"/>
      <c r="C293" s="743"/>
      <c r="D293" s="743"/>
      <c r="E293" s="743"/>
      <c r="F293" s="743"/>
      <c r="G293" s="743"/>
      <c r="H293" s="743"/>
      <c r="I293" s="743"/>
      <c r="J293" s="744"/>
    </row>
    <row r="294" spans="1:10" ht="12.75" customHeight="1" x14ac:dyDescent="0.2">
      <c r="A294" s="742"/>
      <c r="B294" s="743"/>
      <c r="C294" s="743"/>
      <c r="D294" s="743"/>
      <c r="E294" s="743"/>
      <c r="F294" s="743"/>
      <c r="G294" s="743"/>
      <c r="H294" s="743"/>
      <c r="I294" s="743"/>
      <c r="J294" s="744"/>
    </row>
    <row r="295" spans="1:10" s="61" customFormat="1" x14ac:dyDescent="0.2">
      <c r="A295" s="55"/>
      <c r="B295" s="56"/>
      <c r="C295" s="57"/>
      <c r="D295" s="58"/>
      <c r="E295" s="58"/>
      <c r="F295" s="58"/>
      <c r="G295" s="58"/>
      <c r="H295" s="59"/>
      <c r="I295" s="57"/>
      <c r="J295" s="60"/>
    </row>
    <row r="296" spans="1:10" s="61" customFormat="1" ht="25.5" customHeight="1" x14ac:dyDescent="0.2">
      <c r="A296" s="751" t="s">
        <v>197</v>
      </c>
      <c r="B296" s="752"/>
      <c r="C296" s="752"/>
      <c r="D296" s="752"/>
      <c r="E296" s="752"/>
      <c r="F296" s="753"/>
      <c r="G296" s="754"/>
      <c r="H296" s="754"/>
      <c r="I296" s="754"/>
      <c r="J296" s="755"/>
    </row>
    <row r="297" spans="1:10" s="61" customFormat="1" ht="12.75" customHeight="1" x14ac:dyDescent="0.2">
      <c r="A297" s="475" t="s">
        <v>301</v>
      </c>
      <c r="B297" s="476"/>
      <c r="C297" s="476"/>
      <c r="D297" s="476"/>
      <c r="E297" s="476"/>
      <c r="F297" s="746"/>
      <c r="G297" s="746"/>
      <c r="H297" s="746"/>
      <c r="I297" s="746"/>
      <c r="J297" s="747"/>
    </row>
    <row r="298" spans="1:10" ht="12.75" customHeight="1" x14ac:dyDescent="0.2">
      <c r="A298" s="721" t="s">
        <v>368</v>
      </c>
      <c r="B298" s="722"/>
      <c r="C298" s="722"/>
      <c r="D298" s="722"/>
      <c r="E298" s="722"/>
      <c r="F298" s="722"/>
      <c r="G298" s="722"/>
      <c r="H298" s="722"/>
      <c r="I298" s="722"/>
      <c r="J298" s="723"/>
    </row>
    <row r="299" spans="1:10" ht="12.75" customHeight="1" x14ac:dyDescent="0.2">
      <c r="A299" s="724"/>
      <c r="B299" s="725"/>
      <c r="C299" s="725"/>
      <c r="D299" s="725"/>
      <c r="E299" s="725"/>
      <c r="F299" s="725"/>
      <c r="G299" s="725"/>
      <c r="H299" s="725"/>
      <c r="I299" s="725"/>
      <c r="J299" s="726"/>
    </row>
    <row r="300" spans="1:10" ht="12.75" customHeight="1" x14ac:dyDescent="0.2">
      <c r="A300" s="724"/>
      <c r="B300" s="725"/>
      <c r="C300" s="725"/>
      <c r="D300" s="725"/>
      <c r="E300" s="725"/>
      <c r="F300" s="725"/>
      <c r="G300" s="725"/>
      <c r="H300" s="725"/>
      <c r="I300" s="725"/>
      <c r="J300" s="726"/>
    </row>
    <row r="301" spans="1:10" ht="15" customHeight="1" x14ac:dyDescent="0.2">
      <c r="A301" s="727"/>
      <c r="B301" s="728"/>
      <c r="C301" s="728"/>
      <c r="D301" s="728"/>
      <c r="E301" s="728"/>
      <c r="F301" s="728"/>
      <c r="G301" s="728"/>
      <c r="H301" s="728"/>
      <c r="I301" s="728"/>
      <c r="J301" s="729"/>
    </row>
    <row r="302" spans="1:10" ht="12.75" customHeight="1" x14ac:dyDescent="0.2">
      <c r="A302" s="742"/>
      <c r="B302" s="743"/>
      <c r="C302" s="743"/>
      <c r="D302" s="743"/>
      <c r="E302" s="743"/>
      <c r="F302" s="743"/>
      <c r="G302" s="743"/>
      <c r="H302" s="743"/>
      <c r="I302" s="743"/>
      <c r="J302" s="744"/>
    </row>
    <row r="303" spans="1:10" ht="12.75" customHeight="1" x14ac:dyDescent="0.2">
      <c r="A303" s="742"/>
      <c r="B303" s="743"/>
      <c r="C303" s="743"/>
      <c r="D303" s="743"/>
      <c r="E303" s="743"/>
      <c r="F303" s="743"/>
      <c r="G303" s="743"/>
      <c r="H303" s="743"/>
      <c r="I303" s="743"/>
      <c r="J303" s="744"/>
    </row>
    <row r="304" spans="1:10" ht="12.75" customHeight="1" x14ac:dyDescent="0.2">
      <c r="A304" s="742"/>
      <c r="B304" s="743"/>
      <c r="C304" s="743"/>
      <c r="D304" s="743"/>
      <c r="E304" s="743"/>
      <c r="F304" s="743"/>
      <c r="G304" s="743"/>
      <c r="H304" s="743"/>
      <c r="I304" s="743"/>
      <c r="J304" s="744"/>
    </row>
    <row r="305" spans="1:10" ht="12.75" customHeight="1" x14ac:dyDescent="0.2">
      <c r="A305" s="742"/>
      <c r="B305" s="743"/>
      <c r="C305" s="743"/>
      <c r="D305" s="743"/>
      <c r="E305" s="743"/>
      <c r="F305" s="743"/>
      <c r="G305" s="743"/>
      <c r="H305" s="743"/>
      <c r="I305" s="743"/>
      <c r="J305" s="744"/>
    </row>
    <row r="306" spans="1:10" ht="12.75" customHeight="1" x14ac:dyDescent="0.2">
      <c r="A306" s="742"/>
      <c r="B306" s="743"/>
      <c r="C306" s="743"/>
      <c r="D306" s="743"/>
      <c r="E306" s="743"/>
      <c r="F306" s="743"/>
      <c r="G306" s="743"/>
      <c r="H306" s="743"/>
      <c r="I306" s="743"/>
      <c r="J306" s="744"/>
    </row>
    <row r="307" spans="1:10" ht="12.75" customHeight="1" x14ac:dyDescent="0.2">
      <c r="A307" s="742"/>
      <c r="B307" s="743"/>
      <c r="C307" s="743"/>
      <c r="D307" s="743"/>
      <c r="E307" s="743"/>
      <c r="F307" s="743"/>
      <c r="G307" s="743"/>
      <c r="H307" s="743"/>
      <c r="I307" s="743"/>
      <c r="J307" s="744"/>
    </row>
    <row r="308" spans="1:10" ht="12.75" customHeight="1" x14ac:dyDescent="0.2">
      <c r="A308" s="742"/>
      <c r="B308" s="743"/>
      <c r="C308" s="743"/>
      <c r="D308" s="743"/>
      <c r="E308" s="743"/>
      <c r="F308" s="743"/>
      <c r="G308" s="743"/>
      <c r="H308" s="743"/>
      <c r="I308" s="743"/>
      <c r="J308" s="744"/>
    </row>
    <row r="309" spans="1:10" ht="12.75" customHeight="1" x14ac:dyDescent="0.2">
      <c r="A309" s="742"/>
      <c r="B309" s="743"/>
      <c r="C309" s="743"/>
      <c r="D309" s="743"/>
      <c r="E309" s="743"/>
      <c r="F309" s="743"/>
      <c r="G309" s="743"/>
      <c r="H309" s="743"/>
      <c r="I309" s="743"/>
      <c r="J309" s="744"/>
    </row>
    <row r="310" spans="1:10" ht="12.75" customHeight="1" x14ac:dyDescent="0.2">
      <c r="A310" s="742"/>
      <c r="B310" s="743"/>
      <c r="C310" s="743"/>
      <c r="D310" s="743"/>
      <c r="E310" s="743"/>
      <c r="F310" s="743"/>
      <c r="G310" s="743"/>
      <c r="H310" s="743"/>
      <c r="I310" s="743"/>
      <c r="J310" s="744"/>
    </row>
    <row r="311" spans="1:10" ht="12.75" customHeight="1" x14ac:dyDescent="0.2">
      <c r="A311" s="742"/>
      <c r="B311" s="743"/>
      <c r="C311" s="743"/>
      <c r="D311" s="743"/>
      <c r="E311" s="743"/>
      <c r="F311" s="743"/>
      <c r="G311" s="743"/>
      <c r="H311" s="743"/>
      <c r="I311" s="743"/>
      <c r="J311" s="744"/>
    </row>
    <row r="312" spans="1:10" ht="12.75" customHeight="1" x14ac:dyDescent="0.2">
      <c r="A312" s="742"/>
      <c r="B312" s="743"/>
      <c r="C312" s="743"/>
      <c r="D312" s="743"/>
      <c r="E312" s="743"/>
      <c r="F312" s="743"/>
      <c r="G312" s="743"/>
      <c r="H312" s="743"/>
      <c r="I312" s="743"/>
      <c r="J312" s="744"/>
    </row>
    <row r="313" spans="1:10" ht="12.75" customHeight="1" x14ac:dyDescent="0.2">
      <c r="A313" s="742"/>
      <c r="B313" s="743"/>
      <c r="C313" s="743"/>
      <c r="D313" s="743"/>
      <c r="E313" s="743"/>
      <c r="F313" s="743"/>
      <c r="G313" s="743"/>
      <c r="H313" s="743"/>
      <c r="I313" s="743"/>
      <c r="J313" s="744"/>
    </row>
    <row r="314" spans="1:10" ht="12.75" customHeight="1" x14ac:dyDescent="0.2">
      <c r="A314" s="742"/>
      <c r="B314" s="743"/>
      <c r="C314" s="743"/>
      <c r="D314" s="743"/>
      <c r="E314" s="743"/>
      <c r="F314" s="743"/>
      <c r="G314" s="743"/>
      <c r="H314" s="743"/>
      <c r="I314" s="743"/>
      <c r="J314" s="744"/>
    </row>
    <row r="315" spans="1:10" ht="12.75" customHeight="1" x14ac:dyDescent="0.2">
      <c r="A315" s="742"/>
      <c r="B315" s="743"/>
      <c r="C315" s="743"/>
      <c r="D315" s="743"/>
      <c r="E315" s="743"/>
      <c r="F315" s="743"/>
      <c r="G315" s="743"/>
      <c r="H315" s="743"/>
      <c r="I315" s="743"/>
      <c r="J315" s="744"/>
    </row>
    <row r="316" spans="1:10" ht="12.75" customHeight="1" x14ac:dyDescent="0.2">
      <c r="A316" s="742"/>
      <c r="B316" s="743"/>
      <c r="C316" s="743"/>
      <c r="D316" s="743"/>
      <c r="E316" s="743"/>
      <c r="F316" s="743"/>
      <c r="G316" s="743"/>
      <c r="H316" s="743"/>
      <c r="I316" s="743"/>
      <c r="J316" s="744"/>
    </row>
    <row r="317" spans="1:10" ht="12.75" customHeight="1" x14ac:dyDescent="0.2">
      <c r="A317" s="742"/>
      <c r="B317" s="743"/>
      <c r="C317" s="743"/>
      <c r="D317" s="743"/>
      <c r="E317" s="743"/>
      <c r="F317" s="743"/>
      <c r="G317" s="743"/>
      <c r="H317" s="743"/>
      <c r="I317" s="743"/>
      <c r="J317" s="744"/>
    </row>
    <row r="318" spans="1:10" ht="12.75" customHeight="1" x14ac:dyDescent="0.2">
      <c r="A318" s="742"/>
      <c r="B318" s="743"/>
      <c r="C318" s="743"/>
      <c r="D318" s="743"/>
      <c r="E318" s="743"/>
      <c r="F318" s="743"/>
      <c r="G318" s="743"/>
      <c r="H318" s="743"/>
      <c r="I318" s="743"/>
      <c r="J318" s="744"/>
    </row>
    <row r="319" spans="1:10" ht="12.75" customHeight="1" x14ac:dyDescent="0.2">
      <c r="A319" s="742"/>
      <c r="B319" s="743"/>
      <c r="C319" s="743"/>
      <c r="D319" s="743"/>
      <c r="E319" s="743"/>
      <c r="F319" s="743"/>
      <c r="G319" s="743"/>
      <c r="H319" s="743"/>
      <c r="I319" s="743"/>
      <c r="J319" s="744"/>
    </row>
    <row r="320" spans="1:10" ht="12.75" customHeight="1" x14ac:dyDescent="0.2">
      <c r="A320" s="742"/>
      <c r="B320" s="743"/>
      <c r="C320" s="743"/>
      <c r="D320" s="743"/>
      <c r="E320" s="743"/>
      <c r="F320" s="743"/>
      <c r="G320" s="743"/>
      <c r="H320" s="743"/>
      <c r="I320" s="743"/>
      <c r="J320" s="744"/>
    </row>
    <row r="321" spans="1:10" ht="12.75" customHeight="1" x14ac:dyDescent="0.2">
      <c r="A321" s="742"/>
      <c r="B321" s="743"/>
      <c r="C321" s="743"/>
      <c r="D321" s="743"/>
      <c r="E321" s="743"/>
      <c r="F321" s="743"/>
      <c r="G321" s="743"/>
      <c r="H321" s="743"/>
      <c r="I321" s="743"/>
      <c r="J321" s="744"/>
    </row>
    <row r="322" spans="1:10" ht="12.75" customHeight="1" x14ac:dyDescent="0.2">
      <c r="A322" s="742"/>
      <c r="B322" s="743"/>
      <c r="C322" s="743"/>
      <c r="D322" s="743"/>
      <c r="E322" s="743"/>
      <c r="F322" s="743"/>
      <c r="G322" s="743"/>
      <c r="H322" s="743"/>
      <c r="I322" s="743"/>
      <c r="J322" s="744"/>
    </row>
    <row r="323" spans="1:10" ht="12.75" customHeight="1" x14ac:dyDescent="0.2">
      <c r="A323" s="742"/>
      <c r="B323" s="743"/>
      <c r="C323" s="743"/>
      <c r="D323" s="743"/>
      <c r="E323" s="743"/>
      <c r="F323" s="743"/>
      <c r="G323" s="743"/>
      <c r="H323" s="743"/>
      <c r="I323" s="743"/>
      <c r="J323" s="744"/>
    </row>
    <row r="324" spans="1:10" ht="12.75" customHeight="1" x14ac:dyDescent="0.2">
      <c r="A324" s="742"/>
      <c r="B324" s="743"/>
      <c r="C324" s="743"/>
      <c r="D324" s="743"/>
      <c r="E324" s="743"/>
      <c r="F324" s="743"/>
      <c r="G324" s="743"/>
      <c r="H324" s="743"/>
      <c r="I324" s="743"/>
      <c r="J324" s="744"/>
    </row>
    <row r="325" spans="1:10" ht="12.75" customHeight="1" x14ac:dyDescent="0.2">
      <c r="A325" s="742"/>
      <c r="B325" s="743"/>
      <c r="C325" s="743"/>
      <c r="D325" s="743"/>
      <c r="E325" s="743"/>
      <c r="F325" s="743"/>
      <c r="G325" s="743"/>
      <c r="H325" s="743"/>
      <c r="I325" s="743"/>
      <c r="J325" s="744"/>
    </row>
    <row r="326" spans="1:10" ht="12.75" customHeight="1" x14ac:dyDescent="0.2">
      <c r="A326" s="742"/>
      <c r="B326" s="743"/>
      <c r="C326" s="743"/>
      <c r="D326" s="743"/>
      <c r="E326" s="743"/>
      <c r="F326" s="743"/>
      <c r="G326" s="743"/>
      <c r="H326" s="743"/>
      <c r="I326" s="743"/>
      <c r="J326" s="744"/>
    </row>
    <row r="327" spans="1:10" ht="12.75" customHeight="1" x14ac:dyDescent="0.2">
      <c r="A327" s="742"/>
      <c r="B327" s="743"/>
      <c r="C327" s="743"/>
      <c r="D327" s="743"/>
      <c r="E327" s="743"/>
      <c r="F327" s="743"/>
      <c r="G327" s="743"/>
      <c r="H327" s="743"/>
      <c r="I327" s="743"/>
      <c r="J327" s="744"/>
    </row>
    <row r="328" spans="1:10" ht="12.75" customHeight="1" x14ac:dyDescent="0.2">
      <c r="A328" s="742"/>
      <c r="B328" s="743"/>
      <c r="C328" s="743"/>
      <c r="D328" s="743"/>
      <c r="E328" s="743"/>
      <c r="F328" s="743"/>
      <c r="G328" s="743"/>
      <c r="H328" s="743"/>
      <c r="I328" s="743"/>
      <c r="J328" s="744"/>
    </row>
    <row r="329" spans="1:10" ht="12.75" customHeight="1" x14ac:dyDescent="0.2">
      <c r="A329" s="742"/>
      <c r="B329" s="743"/>
      <c r="C329" s="743"/>
      <c r="D329" s="743"/>
      <c r="E329" s="743"/>
      <c r="F329" s="743"/>
      <c r="G329" s="743"/>
      <c r="H329" s="743"/>
      <c r="I329" s="743"/>
      <c r="J329" s="744"/>
    </row>
    <row r="330" spans="1:10" ht="12.75" customHeight="1" x14ac:dyDescent="0.2">
      <c r="A330" s="742"/>
      <c r="B330" s="743"/>
      <c r="C330" s="743"/>
      <c r="D330" s="743"/>
      <c r="E330" s="743"/>
      <c r="F330" s="743"/>
      <c r="G330" s="743"/>
      <c r="H330" s="743"/>
      <c r="I330" s="743"/>
      <c r="J330" s="744"/>
    </row>
    <row r="331" spans="1:10" ht="12.75" customHeight="1" x14ac:dyDescent="0.2">
      <c r="A331" s="742"/>
      <c r="B331" s="743"/>
      <c r="C331" s="743"/>
      <c r="D331" s="743"/>
      <c r="E331" s="743"/>
      <c r="F331" s="743"/>
      <c r="G331" s="743"/>
      <c r="H331" s="743"/>
      <c r="I331" s="743"/>
      <c r="J331" s="744"/>
    </row>
    <row r="332" spans="1:10" ht="12.75" customHeight="1" x14ac:dyDescent="0.2">
      <c r="A332" s="742"/>
      <c r="B332" s="743"/>
      <c r="C332" s="743"/>
      <c r="D332" s="743"/>
      <c r="E332" s="743"/>
      <c r="F332" s="743"/>
      <c r="G332" s="743"/>
      <c r="H332" s="743"/>
      <c r="I332" s="743"/>
      <c r="J332" s="744"/>
    </row>
    <row r="333" spans="1:10" ht="12.75" customHeight="1" x14ac:dyDescent="0.2">
      <c r="A333" s="742"/>
      <c r="B333" s="743"/>
      <c r="C333" s="743"/>
      <c r="D333" s="743"/>
      <c r="E333" s="743"/>
      <c r="F333" s="743"/>
      <c r="G333" s="743"/>
      <c r="H333" s="743"/>
      <c r="I333" s="743"/>
      <c r="J333" s="744"/>
    </row>
    <row r="334" spans="1:10" ht="12.75" customHeight="1" x14ac:dyDescent="0.2">
      <c r="A334" s="742"/>
      <c r="B334" s="743"/>
      <c r="C334" s="743"/>
      <c r="D334" s="743"/>
      <c r="E334" s="743"/>
      <c r="F334" s="743"/>
      <c r="G334" s="743"/>
      <c r="H334" s="743"/>
      <c r="I334" s="743"/>
      <c r="J334" s="744"/>
    </row>
    <row r="335" spans="1:10" ht="12.75" customHeight="1" x14ac:dyDescent="0.2">
      <c r="A335" s="742"/>
      <c r="B335" s="743"/>
      <c r="C335" s="743"/>
      <c r="D335" s="743"/>
      <c r="E335" s="743"/>
      <c r="F335" s="743"/>
      <c r="G335" s="743"/>
      <c r="H335" s="743"/>
      <c r="I335" s="743"/>
      <c r="J335" s="744"/>
    </row>
    <row r="336" spans="1:10" ht="12.75" customHeight="1" x14ac:dyDescent="0.2">
      <c r="A336" s="742"/>
      <c r="B336" s="743"/>
      <c r="C336" s="743"/>
      <c r="D336" s="743"/>
      <c r="E336" s="743"/>
      <c r="F336" s="743"/>
      <c r="G336" s="743"/>
      <c r="H336" s="743"/>
      <c r="I336" s="743"/>
      <c r="J336" s="744"/>
    </row>
    <row r="337" spans="1:10" s="61" customFormat="1" x14ac:dyDescent="0.2">
      <c r="A337" s="55"/>
      <c r="B337" s="56"/>
      <c r="C337" s="57"/>
      <c r="D337" s="58"/>
      <c r="E337" s="58"/>
      <c r="F337" s="58"/>
      <c r="G337" s="58"/>
      <c r="H337" s="59"/>
      <c r="I337" s="57"/>
      <c r="J337" s="60"/>
    </row>
    <row r="338" spans="1:10" s="61" customFormat="1" ht="25.5" customHeight="1" x14ac:dyDescent="0.2">
      <c r="A338" s="751" t="s">
        <v>196</v>
      </c>
      <c r="B338" s="752"/>
      <c r="C338" s="752"/>
      <c r="D338" s="752"/>
      <c r="E338" s="752"/>
      <c r="F338" s="753"/>
      <c r="G338" s="754"/>
      <c r="H338" s="754"/>
      <c r="I338" s="754"/>
      <c r="J338" s="755"/>
    </row>
    <row r="339" spans="1:10" s="61" customFormat="1" ht="12.75" customHeight="1" x14ac:dyDescent="0.2">
      <c r="A339" s="475" t="s">
        <v>301</v>
      </c>
      <c r="B339" s="476"/>
      <c r="C339" s="476"/>
      <c r="D339" s="476"/>
      <c r="E339" s="476"/>
      <c r="F339" s="746"/>
      <c r="G339" s="746"/>
      <c r="H339" s="746"/>
      <c r="I339" s="746"/>
      <c r="J339" s="747"/>
    </row>
    <row r="340" spans="1:10" ht="12.75" customHeight="1" x14ac:dyDescent="0.2">
      <c r="A340" s="721" t="s">
        <v>368</v>
      </c>
      <c r="B340" s="722"/>
      <c r="C340" s="722"/>
      <c r="D340" s="722"/>
      <c r="E340" s="722"/>
      <c r="F340" s="722"/>
      <c r="G340" s="722"/>
      <c r="H340" s="722"/>
      <c r="I340" s="722"/>
      <c r="J340" s="723"/>
    </row>
    <row r="341" spans="1:10" ht="12.75" customHeight="1" x14ac:dyDescent="0.2">
      <c r="A341" s="724"/>
      <c r="B341" s="725"/>
      <c r="C341" s="725"/>
      <c r="D341" s="725"/>
      <c r="E341" s="725"/>
      <c r="F341" s="725"/>
      <c r="G341" s="725"/>
      <c r="H341" s="725"/>
      <c r="I341" s="725"/>
      <c r="J341" s="726"/>
    </row>
    <row r="342" spans="1:10" ht="12.75" customHeight="1" x14ac:dyDescent="0.2">
      <c r="A342" s="724"/>
      <c r="B342" s="725"/>
      <c r="C342" s="725"/>
      <c r="D342" s="725"/>
      <c r="E342" s="725"/>
      <c r="F342" s="725"/>
      <c r="G342" s="725"/>
      <c r="H342" s="725"/>
      <c r="I342" s="725"/>
      <c r="J342" s="726"/>
    </row>
    <row r="343" spans="1:10" ht="15" customHeight="1" x14ac:dyDescent="0.2">
      <c r="A343" s="727"/>
      <c r="B343" s="728"/>
      <c r="C343" s="728"/>
      <c r="D343" s="728"/>
      <c r="E343" s="728"/>
      <c r="F343" s="728"/>
      <c r="G343" s="728"/>
      <c r="H343" s="728"/>
      <c r="I343" s="728"/>
      <c r="J343" s="729"/>
    </row>
    <row r="344" spans="1:10" ht="12.75" customHeight="1" x14ac:dyDescent="0.2">
      <c r="A344" s="742"/>
      <c r="B344" s="743"/>
      <c r="C344" s="743"/>
      <c r="D344" s="743"/>
      <c r="E344" s="743"/>
      <c r="F344" s="743"/>
      <c r="G344" s="743"/>
      <c r="H344" s="743"/>
      <c r="I344" s="743"/>
      <c r="J344" s="744"/>
    </row>
    <row r="345" spans="1:10" ht="12.75" customHeight="1" x14ac:dyDescent="0.2">
      <c r="A345" s="742"/>
      <c r="B345" s="743"/>
      <c r="C345" s="743"/>
      <c r="D345" s="743"/>
      <c r="E345" s="743"/>
      <c r="F345" s="743"/>
      <c r="G345" s="743"/>
      <c r="H345" s="743"/>
      <c r="I345" s="743"/>
      <c r="J345" s="744"/>
    </row>
    <row r="346" spans="1:10" ht="12.75" customHeight="1" x14ac:dyDescent="0.2">
      <c r="A346" s="742"/>
      <c r="B346" s="743"/>
      <c r="C346" s="743"/>
      <c r="D346" s="743"/>
      <c r="E346" s="743"/>
      <c r="F346" s="743"/>
      <c r="G346" s="743"/>
      <c r="H346" s="743"/>
      <c r="I346" s="743"/>
      <c r="J346" s="744"/>
    </row>
    <row r="347" spans="1:10" ht="12.75" customHeight="1" x14ac:dyDescent="0.2">
      <c r="A347" s="742"/>
      <c r="B347" s="743"/>
      <c r="C347" s="743"/>
      <c r="D347" s="743"/>
      <c r="E347" s="743"/>
      <c r="F347" s="743"/>
      <c r="G347" s="743"/>
      <c r="H347" s="743"/>
      <c r="I347" s="743"/>
      <c r="J347" s="744"/>
    </row>
    <row r="348" spans="1:10" ht="12.75" customHeight="1" x14ac:dyDescent="0.2">
      <c r="A348" s="742"/>
      <c r="B348" s="743"/>
      <c r="C348" s="743"/>
      <c r="D348" s="743"/>
      <c r="E348" s="743"/>
      <c r="F348" s="743"/>
      <c r="G348" s="743"/>
      <c r="H348" s="743"/>
      <c r="I348" s="743"/>
      <c r="J348" s="744"/>
    </row>
    <row r="349" spans="1:10" ht="12.75" customHeight="1" x14ac:dyDescent="0.2">
      <c r="A349" s="742"/>
      <c r="B349" s="743"/>
      <c r="C349" s="743"/>
      <c r="D349" s="743"/>
      <c r="E349" s="743"/>
      <c r="F349" s="743"/>
      <c r="G349" s="743"/>
      <c r="H349" s="743"/>
      <c r="I349" s="743"/>
      <c r="J349" s="744"/>
    </row>
    <row r="350" spans="1:10" ht="12.75" customHeight="1" x14ac:dyDescent="0.2">
      <c r="A350" s="742"/>
      <c r="B350" s="743"/>
      <c r="C350" s="743"/>
      <c r="D350" s="743"/>
      <c r="E350" s="743"/>
      <c r="F350" s="743"/>
      <c r="G350" s="743"/>
      <c r="H350" s="743"/>
      <c r="I350" s="743"/>
      <c r="J350" s="744"/>
    </row>
    <row r="351" spans="1:10" ht="12.75" customHeight="1" x14ac:dyDescent="0.2">
      <c r="A351" s="742"/>
      <c r="B351" s="743"/>
      <c r="C351" s="743"/>
      <c r="D351" s="743"/>
      <c r="E351" s="743"/>
      <c r="F351" s="743"/>
      <c r="G351" s="743"/>
      <c r="H351" s="743"/>
      <c r="I351" s="743"/>
      <c r="J351" s="744"/>
    </row>
    <row r="352" spans="1:10" ht="12.75" customHeight="1" x14ac:dyDescent="0.2">
      <c r="A352" s="742"/>
      <c r="B352" s="743"/>
      <c r="C352" s="743"/>
      <c r="D352" s="743"/>
      <c r="E352" s="743"/>
      <c r="F352" s="743"/>
      <c r="G352" s="743"/>
      <c r="H352" s="743"/>
      <c r="I352" s="743"/>
      <c r="J352" s="744"/>
    </row>
    <row r="353" spans="1:10" ht="12.75" customHeight="1" x14ac:dyDescent="0.2">
      <c r="A353" s="742"/>
      <c r="B353" s="743"/>
      <c r="C353" s="743"/>
      <c r="D353" s="743"/>
      <c r="E353" s="743"/>
      <c r="F353" s="743"/>
      <c r="G353" s="743"/>
      <c r="H353" s="743"/>
      <c r="I353" s="743"/>
      <c r="J353" s="744"/>
    </row>
    <row r="354" spans="1:10" ht="12.75" customHeight="1" x14ac:dyDescent="0.2">
      <c r="A354" s="742"/>
      <c r="B354" s="743"/>
      <c r="C354" s="743"/>
      <c r="D354" s="743"/>
      <c r="E354" s="743"/>
      <c r="F354" s="743"/>
      <c r="G354" s="743"/>
      <c r="H354" s="743"/>
      <c r="I354" s="743"/>
      <c r="J354" s="744"/>
    </row>
    <row r="355" spans="1:10" ht="12.75" customHeight="1" x14ac:dyDescent="0.2">
      <c r="A355" s="742"/>
      <c r="B355" s="743"/>
      <c r="C355" s="743"/>
      <c r="D355" s="743"/>
      <c r="E355" s="743"/>
      <c r="F355" s="743"/>
      <c r="G355" s="743"/>
      <c r="H355" s="743"/>
      <c r="I355" s="743"/>
      <c r="J355" s="744"/>
    </row>
    <row r="356" spans="1:10" ht="12.75" customHeight="1" x14ac:dyDescent="0.2">
      <c r="A356" s="742"/>
      <c r="B356" s="743"/>
      <c r="C356" s="743"/>
      <c r="D356" s="743"/>
      <c r="E356" s="743"/>
      <c r="F356" s="743"/>
      <c r="G356" s="743"/>
      <c r="H356" s="743"/>
      <c r="I356" s="743"/>
      <c r="J356" s="744"/>
    </row>
    <row r="357" spans="1:10" ht="12.75" customHeight="1" x14ac:dyDescent="0.2">
      <c r="A357" s="742"/>
      <c r="B357" s="743"/>
      <c r="C357" s="743"/>
      <c r="D357" s="743"/>
      <c r="E357" s="743"/>
      <c r="F357" s="743"/>
      <c r="G357" s="743"/>
      <c r="H357" s="743"/>
      <c r="I357" s="743"/>
      <c r="J357" s="744"/>
    </row>
    <row r="358" spans="1:10" ht="12.75" customHeight="1" x14ac:dyDescent="0.2">
      <c r="A358" s="742"/>
      <c r="B358" s="743"/>
      <c r="C358" s="743"/>
      <c r="D358" s="743"/>
      <c r="E358" s="743"/>
      <c r="F358" s="743"/>
      <c r="G358" s="743"/>
      <c r="H358" s="743"/>
      <c r="I358" s="743"/>
      <c r="J358" s="744"/>
    </row>
    <row r="359" spans="1:10" ht="12.75" customHeight="1" x14ac:dyDescent="0.2">
      <c r="A359" s="742"/>
      <c r="B359" s="743"/>
      <c r="C359" s="743"/>
      <c r="D359" s="743"/>
      <c r="E359" s="743"/>
      <c r="F359" s="743"/>
      <c r="G359" s="743"/>
      <c r="H359" s="743"/>
      <c r="I359" s="743"/>
      <c r="J359" s="744"/>
    </row>
    <row r="360" spans="1:10" ht="12.75" customHeight="1" x14ac:dyDescent="0.2">
      <c r="A360" s="742"/>
      <c r="B360" s="743"/>
      <c r="C360" s="743"/>
      <c r="D360" s="743"/>
      <c r="E360" s="743"/>
      <c r="F360" s="743"/>
      <c r="G360" s="743"/>
      <c r="H360" s="743"/>
      <c r="I360" s="743"/>
      <c r="J360" s="744"/>
    </row>
    <row r="361" spans="1:10" ht="12.75" customHeight="1" x14ac:dyDescent="0.2">
      <c r="A361" s="742"/>
      <c r="B361" s="743"/>
      <c r="C361" s="743"/>
      <c r="D361" s="743"/>
      <c r="E361" s="743"/>
      <c r="F361" s="743"/>
      <c r="G361" s="743"/>
      <c r="H361" s="743"/>
      <c r="I361" s="743"/>
      <c r="J361" s="744"/>
    </row>
    <row r="362" spans="1:10" ht="12.75" customHeight="1" x14ac:dyDescent="0.2">
      <c r="A362" s="742"/>
      <c r="B362" s="743"/>
      <c r="C362" s="743"/>
      <c r="D362" s="743"/>
      <c r="E362" s="743"/>
      <c r="F362" s="743"/>
      <c r="G362" s="743"/>
      <c r="H362" s="743"/>
      <c r="I362" s="743"/>
      <c r="J362" s="744"/>
    </row>
    <row r="363" spans="1:10" ht="12.75" customHeight="1" x14ac:dyDescent="0.2">
      <c r="A363" s="742"/>
      <c r="B363" s="743"/>
      <c r="C363" s="743"/>
      <c r="D363" s="743"/>
      <c r="E363" s="743"/>
      <c r="F363" s="743"/>
      <c r="G363" s="743"/>
      <c r="H363" s="743"/>
      <c r="I363" s="743"/>
      <c r="J363" s="744"/>
    </row>
    <row r="364" spans="1:10" ht="12.75" customHeight="1" x14ac:dyDescent="0.2">
      <c r="A364" s="742"/>
      <c r="B364" s="743"/>
      <c r="C364" s="743"/>
      <c r="D364" s="743"/>
      <c r="E364" s="743"/>
      <c r="F364" s="743"/>
      <c r="G364" s="743"/>
      <c r="H364" s="743"/>
      <c r="I364" s="743"/>
      <c r="J364" s="744"/>
    </row>
    <row r="365" spans="1:10" ht="12.75" customHeight="1" x14ac:dyDescent="0.2">
      <c r="A365" s="742"/>
      <c r="B365" s="743"/>
      <c r="C365" s="743"/>
      <c r="D365" s="743"/>
      <c r="E365" s="743"/>
      <c r="F365" s="743"/>
      <c r="G365" s="743"/>
      <c r="H365" s="743"/>
      <c r="I365" s="743"/>
      <c r="J365" s="744"/>
    </row>
    <row r="366" spans="1:10" ht="12.75" customHeight="1" x14ac:dyDescent="0.2">
      <c r="A366" s="742"/>
      <c r="B366" s="743"/>
      <c r="C366" s="743"/>
      <c r="D366" s="743"/>
      <c r="E366" s="743"/>
      <c r="F366" s="743"/>
      <c r="G366" s="743"/>
      <c r="H366" s="743"/>
      <c r="I366" s="743"/>
      <c r="J366" s="744"/>
    </row>
    <row r="367" spans="1:10" ht="12.75" customHeight="1" x14ac:dyDescent="0.2">
      <c r="A367" s="742"/>
      <c r="B367" s="743"/>
      <c r="C367" s="743"/>
      <c r="D367" s="743"/>
      <c r="E367" s="743"/>
      <c r="F367" s="743"/>
      <c r="G367" s="743"/>
      <c r="H367" s="743"/>
      <c r="I367" s="743"/>
      <c r="J367" s="744"/>
    </row>
    <row r="368" spans="1:10" ht="12.75" customHeight="1" x14ac:dyDescent="0.2">
      <c r="A368" s="742"/>
      <c r="B368" s="743"/>
      <c r="C368" s="743"/>
      <c r="D368" s="743"/>
      <c r="E368" s="743"/>
      <c r="F368" s="743"/>
      <c r="G368" s="743"/>
      <c r="H368" s="743"/>
      <c r="I368" s="743"/>
      <c r="J368" s="744"/>
    </row>
    <row r="369" spans="1:10" ht="12.75" customHeight="1" x14ac:dyDescent="0.2">
      <c r="A369" s="742"/>
      <c r="B369" s="743"/>
      <c r="C369" s="743"/>
      <c r="D369" s="743"/>
      <c r="E369" s="743"/>
      <c r="F369" s="743"/>
      <c r="G369" s="743"/>
      <c r="H369" s="743"/>
      <c r="I369" s="743"/>
      <c r="J369" s="744"/>
    </row>
    <row r="370" spans="1:10" ht="12.75" customHeight="1" x14ac:dyDescent="0.2">
      <c r="A370" s="742"/>
      <c r="B370" s="743"/>
      <c r="C370" s="743"/>
      <c r="D370" s="743"/>
      <c r="E370" s="743"/>
      <c r="F370" s="743"/>
      <c r="G370" s="743"/>
      <c r="H370" s="743"/>
      <c r="I370" s="743"/>
      <c r="J370" s="744"/>
    </row>
    <row r="371" spans="1:10" ht="12.75" customHeight="1" x14ac:dyDescent="0.2">
      <c r="A371" s="742"/>
      <c r="B371" s="743"/>
      <c r="C371" s="743"/>
      <c r="D371" s="743"/>
      <c r="E371" s="743"/>
      <c r="F371" s="743"/>
      <c r="G371" s="743"/>
      <c r="H371" s="743"/>
      <c r="I371" s="743"/>
      <c r="J371" s="744"/>
    </row>
    <row r="372" spans="1:10" ht="12.75" customHeight="1" x14ac:dyDescent="0.2">
      <c r="A372" s="742"/>
      <c r="B372" s="743"/>
      <c r="C372" s="743"/>
      <c r="D372" s="743"/>
      <c r="E372" s="743"/>
      <c r="F372" s="743"/>
      <c r="G372" s="743"/>
      <c r="H372" s="743"/>
      <c r="I372" s="743"/>
      <c r="J372" s="744"/>
    </row>
    <row r="373" spans="1:10" ht="12.75" customHeight="1" x14ac:dyDescent="0.2">
      <c r="A373" s="742"/>
      <c r="B373" s="743"/>
      <c r="C373" s="743"/>
      <c r="D373" s="743"/>
      <c r="E373" s="743"/>
      <c r="F373" s="743"/>
      <c r="G373" s="743"/>
      <c r="H373" s="743"/>
      <c r="I373" s="743"/>
      <c r="J373" s="744"/>
    </row>
    <row r="374" spans="1:10" ht="12.75" customHeight="1" x14ac:dyDescent="0.2">
      <c r="A374" s="742"/>
      <c r="B374" s="743"/>
      <c r="C374" s="743"/>
      <c r="D374" s="743"/>
      <c r="E374" s="743"/>
      <c r="F374" s="743"/>
      <c r="G374" s="743"/>
      <c r="H374" s="743"/>
      <c r="I374" s="743"/>
      <c r="J374" s="744"/>
    </row>
    <row r="375" spans="1:10" ht="12.75" customHeight="1" x14ac:dyDescent="0.2">
      <c r="A375" s="742"/>
      <c r="B375" s="743"/>
      <c r="C375" s="743"/>
      <c r="D375" s="743"/>
      <c r="E375" s="743"/>
      <c r="F375" s="743"/>
      <c r="G375" s="743"/>
      <c r="H375" s="743"/>
      <c r="I375" s="743"/>
      <c r="J375" s="744"/>
    </row>
    <row r="376" spans="1:10" ht="12.75" customHeight="1" x14ac:dyDescent="0.2">
      <c r="A376" s="742"/>
      <c r="B376" s="743"/>
      <c r="C376" s="743"/>
      <c r="D376" s="743"/>
      <c r="E376" s="743"/>
      <c r="F376" s="743"/>
      <c r="G376" s="743"/>
      <c r="H376" s="743"/>
      <c r="I376" s="743"/>
      <c r="J376" s="744"/>
    </row>
    <row r="377" spans="1:10" ht="12.75" customHeight="1" x14ac:dyDescent="0.2">
      <c r="A377" s="742"/>
      <c r="B377" s="743"/>
      <c r="C377" s="743"/>
      <c r="D377" s="743"/>
      <c r="E377" s="743"/>
      <c r="F377" s="743"/>
      <c r="G377" s="743"/>
      <c r="H377" s="743"/>
      <c r="I377" s="743"/>
      <c r="J377" s="744"/>
    </row>
    <row r="378" spans="1:10" ht="12.75" customHeight="1" x14ac:dyDescent="0.2">
      <c r="A378" s="742"/>
      <c r="B378" s="743"/>
      <c r="C378" s="743"/>
      <c r="D378" s="743"/>
      <c r="E378" s="743"/>
      <c r="F378" s="743"/>
      <c r="G378" s="743"/>
      <c r="H378" s="743"/>
      <c r="I378" s="743"/>
      <c r="J378" s="744"/>
    </row>
    <row r="379" spans="1:10" s="61" customFormat="1" x14ac:dyDescent="0.2">
      <c r="A379" s="55"/>
      <c r="B379" s="56"/>
      <c r="C379" s="57"/>
      <c r="D379" s="58"/>
      <c r="E379" s="58"/>
      <c r="F379" s="58"/>
      <c r="G379" s="58"/>
      <c r="H379" s="59"/>
      <c r="I379" s="57"/>
      <c r="J379" s="60"/>
    </row>
    <row r="380" spans="1:10" s="61" customFormat="1" ht="25.5" customHeight="1" x14ac:dyDescent="0.2">
      <c r="A380" s="751" t="s">
        <v>195</v>
      </c>
      <c r="B380" s="752"/>
      <c r="C380" s="752"/>
      <c r="D380" s="752"/>
      <c r="E380" s="752"/>
      <c r="F380" s="753"/>
      <c r="G380" s="754"/>
      <c r="H380" s="754"/>
      <c r="I380" s="754"/>
      <c r="J380" s="755"/>
    </row>
    <row r="381" spans="1:10" s="61" customFormat="1" ht="12.75" customHeight="1" x14ac:dyDescent="0.2">
      <c r="A381" s="475" t="s">
        <v>301</v>
      </c>
      <c r="B381" s="476"/>
      <c r="C381" s="476"/>
      <c r="D381" s="476"/>
      <c r="E381" s="476"/>
      <c r="F381" s="746"/>
      <c r="G381" s="746"/>
      <c r="H381" s="746"/>
      <c r="I381" s="746"/>
      <c r="J381" s="747"/>
    </row>
    <row r="382" spans="1:10" ht="12.75" customHeight="1" x14ac:dyDescent="0.2">
      <c r="A382" s="721" t="s">
        <v>368</v>
      </c>
      <c r="B382" s="722"/>
      <c r="C382" s="722"/>
      <c r="D382" s="722"/>
      <c r="E382" s="722"/>
      <c r="F382" s="722"/>
      <c r="G382" s="722"/>
      <c r="H382" s="722"/>
      <c r="I382" s="722"/>
      <c r="J382" s="723"/>
    </row>
    <row r="383" spans="1:10" ht="12.75" customHeight="1" x14ac:dyDescent="0.2">
      <c r="A383" s="724"/>
      <c r="B383" s="725"/>
      <c r="C383" s="725"/>
      <c r="D383" s="725"/>
      <c r="E383" s="725"/>
      <c r="F383" s="725"/>
      <c r="G383" s="725"/>
      <c r="H383" s="725"/>
      <c r="I383" s="725"/>
      <c r="J383" s="726"/>
    </row>
    <row r="384" spans="1:10" ht="12.75" customHeight="1" x14ac:dyDescent="0.2">
      <c r="A384" s="724"/>
      <c r="B384" s="725"/>
      <c r="C384" s="725"/>
      <c r="D384" s="725"/>
      <c r="E384" s="725"/>
      <c r="F384" s="725"/>
      <c r="G384" s="725"/>
      <c r="H384" s="725"/>
      <c r="I384" s="725"/>
      <c r="J384" s="726"/>
    </row>
    <row r="385" spans="1:10" ht="15" customHeight="1" x14ac:dyDescent="0.2">
      <c r="A385" s="727"/>
      <c r="B385" s="728"/>
      <c r="C385" s="728"/>
      <c r="D385" s="728"/>
      <c r="E385" s="728"/>
      <c r="F385" s="728"/>
      <c r="G385" s="728"/>
      <c r="H385" s="728"/>
      <c r="I385" s="728"/>
      <c r="J385" s="729"/>
    </row>
    <row r="386" spans="1:10" ht="12.75" customHeight="1" x14ac:dyDescent="0.2">
      <c r="A386" s="742"/>
      <c r="B386" s="743"/>
      <c r="C386" s="743"/>
      <c r="D386" s="743"/>
      <c r="E386" s="743"/>
      <c r="F386" s="743"/>
      <c r="G386" s="743"/>
      <c r="H386" s="743"/>
      <c r="I386" s="743"/>
      <c r="J386" s="744"/>
    </row>
    <row r="387" spans="1:10" ht="12.75" customHeight="1" x14ac:dyDescent="0.2">
      <c r="A387" s="742"/>
      <c r="B387" s="743"/>
      <c r="C387" s="743"/>
      <c r="D387" s="743"/>
      <c r="E387" s="743"/>
      <c r="F387" s="743"/>
      <c r="G387" s="743"/>
      <c r="H387" s="743"/>
      <c r="I387" s="743"/>
      <c r="J387" s="744"/>
    </row>
    <row r="388" spans="1:10" ht="12.75" customHeight="1" x14ac:dyDescent="0.2">
      <c r="A388" s="742"/>
      <c r="B388" s="743"/>
      <c r="C388" s="743"/>
      <c r="D388" s="743"/>
      <c r="E388" s="743"/>
      <c r="F388" s="743"/>
      <c r="G388" s="743"/>
      <c r="H388" s="743"/>
      <c r="I388" s="743"/>
      <c r="J388" s="744"/>
    </row>
    <row r="389" spans="1:10" ht="12.75" customHeight="1" x14ac:dyDescent="0.2">
      <c r="A389" s="742"/>
      <c r="B389" s="743"/>
      <c r="C389" s="743"/>
      <c r="D389" s="743"/>
      <c r="E389" s="743"/>
      <c r="F389" s="743"/>
      <c r="G389" s="743"/>
      <c r="H389" s="743"/>
      <c r="I389" s="743"/>
      <c r="J389" s="744"/>
    </row>
    <row r="390" spans="1:10" ht="12.75" customHeight="1" x14ac:dyDescent="0.2">
      <c r="A390" s="742"/>
      <c r="B390" s="743"/>
      <c r="C390" s="743"/>
      <c r="D390" s="743"/>
      <c r="E390" s="743"/>
      <c r="F390" s="743"/>
      <c r="G390" s="743"/>
      <c r="H390" s="743"/>
      <c r="I390" s="743"/>
      <c r="J390" s="744"/>
    </row>
    <row r="391" spans="1:10" ht="12.75" customHeight="1" x14ac:dyDescent="0.2">
      <c r="A391" s="742"/>
      <c r="B391" s="743"/>
      <c r="C391" s="743"/>
      <c r="D391" s="743"/>
      <c r="E391" s="743"/>
      <c r="F391" s="743"/>
      <c r="G391" s="743"/>
      <c r="H391" s="743"/>
      <c r="I391" s="743"/>
      <c r="J391" s="744"/>
    </row>
    <row r="392" spans="1:10" ht="12.75" customHeight="1" x14ac:dyDescent="0.2">
      <c r="A392" s="742"/>
      <c r="B392" s="743"/>
      <c r="C392" s="743"/>
      <c r="D392" s="743"/>
      <c r="E392" s="743"/>
      <c r="F392" s="743"/>
      <c r="G392" s="743"/>
      <c r="H392" s="743"/>
      <c r="I392" s="743"/>
      <c r="J392" s="744"/>
    </row>
    <row r="393" spans="1:10" ht="12.75" customHeight="1" x14ac:dyDescent="0.2">
      <c r="A393" s="742"/>
      <c r="B393" s="743"/>
      <c r="C393" s="743"/>
      <c r="D393" s="743"/>
      <c r="E393" s="743"/>
      <c r="F393" s="743"/>
      <c r="G393" s="743"/>
      <c r="H393" s="743"/>
      <c r="I393" s="743"/>
      <c r="J393" s="744"/>
    </row>
    <row r="394" spans="1:10" ht="12.75" customHeight="1" x14ac:dyDescent="0.2">
      <c r="A394" s="742"/>
      <c r="B394" s="743"/>
      <c r="C394" s="743"/>
      <c r="D394" s="743"/>
      <c r="E394" s="743"/>
      <c r="F394" s="743"/>
      <c r="G394" s="743"/>
      <c r="H394" s="743"/>
      <c r="I394" s="743"/>
      <c r="J394" s="744"/>
    </row>
    <row r="395" spans="1:10" ht="12.75" customHeight="1" x14ac:dyDescent="0.2">
      <c r="A395" s="742"/>
      <c r="B395" s="743"/>
      <c r="C395" s="743"/>
      <c r="D395" s="743"/>
      <c r="E395" s="743"/>
      <c r="F395" s="743"/>
      <c r="G395" s="743"/>
      <c r="H395" s="743"/>
      <c r="I395" s="743"/>
      <c r="J395" s="744"/>
    </row>
    <row r="396" spans="1:10" ht="12.75" customHeight="1" x14ac:dyDescent="0.2">
      <c r="A396" s="742"/>
      <c r="B396" s="743"/>
      <c r="C396" s="743"/>
      <c r="D396" s="743"/>
      <c r="E396" s="743"/>
      <c r="F396" s="743"/>
      <c r="G396" s="743"/>
      <c r="H396" s="743"/>
      <c r="I396" s="743"/>
      <c r="J396" s="744"/>
    </row>
    <row r="397" spans="1:10" ht="12.75" customHeight="1" x14ac:dyDescent="0.2">
      <c r="A397" s="742"/>
      <c r="B397" s="743"/>
      <c r="C397" s="743"/>
      <c r="D397" s="743"/>
      <c r="E397" s="743"/>
      <c r="F397" s="743"/>
      <c r="G397" s="743"/>
      <c r="H397" s="743"/>
      <c r="I397" s="743"/>
      <c r="J397" s="744"/>
    </row>
    <row r="398" spans="1:10" ht="12.75" customHeight="1" x14ac:dyDescent="0.2">
      <c r="A398" s="742"/>
      <c r="B398" s="743"/>
      <c r="C398" s="743"/>
      <c r="D398" s="743"/>
      <c r="E398" s="743"/>
      <c r="F398" s="743"/>
      <c r="G398" s="743"/>
      <c r="H398" s="743"/>
      <c r="I398" s="743"/>
      <c r="J398" s="744"/>
    </row>
    <row r="399" spans="1:10" ht="12.75" customHeight="1" x14ac:dyDescent="0.2">
      <c r="A399" s="742"/>
      <c r="B399" s="743"/>
      <c r="C399" s="743"/>
      <c r="D399" s="743"/>
      <c r="E399" s="743"/>
      <c r="F399" s="743"/>
      <c r="G399" s="743"/>
      <c r="H399" s="743"/>
      <c r="I399" s="743"/>
      <c r="J399" s="744"/>
    </row>
    <row r="400" spans="1:10" ht="12.75" customHeight="1" x14ac:dyDescent="0.2">
      <c r="A400" s="742"/>
      <c r="B400" s="743"/>
      <c r="C400" s="743"/>
      <c r="D400" s="743"/>
      <c r="E400" s="743"/>
      <c r="F400" s="743"/>
      <c r="G400" s="743"/>
      <c r="H400" s="743"/>
      <c r="I400" s="743"/>
      <c r="J400" s="744"/>
    </row>
    <row r="401" spans="1:10" ht="12.75" customHeight="1" x14ac:dyDescent="0.2">
      <c r="A401" s="742"/>
      <c r="B401" s="743"/>
      <c r="C401" s="743"/>
      <c r="D401" s="743"/>
      <c r="E401" s="743"/>
      <c r="F401" s="743"/>
      <c r="G401" s="743"/>
      <c r="H401" s="743"/>
      <c r="I401" s="743"/>
      <c r="J401" s="744"/>
    </row>
    <row r="402" spans="1:10" ht="12.75" customHeight="1" x14ac:dyDescent="0.2">
      <c r="A402" s="742"/>
      <c r="B402" s="743"/>
      <c r="C402" s="743"/>
      <c r="D402" s="743"/>
      <c r="E402" s="743"/>
      <c r="F402" s="743"/>
      <c r="G402" s="743"/>
      <c r="H402" s="743"/>
      <c r="I402" s="743"/>
      <c r="J402" s="744"/>
    </row>
    <row r="403" spans="1:10" ht="12.75" customHeight="1" x14ac:dyDescent="0.2">
      <c r="A403" s="742"/>
      <c r="B403" s="743"/>
      <c r="C403" s="743"/>
      <c r="D403" s="743"/>
      <c r="E403" s="743"/>
      <c r="F403" s="743"/>
      <c r="G403" s="743"/>
      <c r="H403" s="743"/>
      <c r="I403" s="743"/>
      <c r="J403" s="744"/>
    </row>
    <row r="404" spans="1:10" ht="12.75" customHeight="1" x14ac:dyDescent="0.2">
      <c r="A404" s="742"/>
      <c r="B404" s="743"/>
      <c r="C404" s="743"/>
      <c r="D404" s="743"/>
      <c r="E404" s="743"/>
      <c r="F404" s="743"/>
      <c r="G404" s="743"/>
      <c r="H404" s="743"/>
      <c r="I404" s="743"/>
      <c r="J404" s="744"/>
    </row>
    <row r="405" spans="1:10" ht="12.75" customHeight="1" x14ac:dyDescent="0.2">
      <c r="A405" s="742"/>
      <c r="B405" s="743"/>
      <c r="C405" s="743"/>
      <c r="D405" s="743"/>
      <c r="E405" s="743"/>
      <c r="F405" s="743"/>
      <c r="G405" s="743"/>
      <c r="H405" s="743"/>
      <c r="I405" s="743"/>
      <c r="J405" s="744"/>
    </row>
    <row r="406" spans="1:10" ht="12.75" customHeight="1" x14ac:dyDescent="0.2">
      <c r="A406" s="742"/>
      <c r="B406" s="743"/>
      <c r="C406" s="743"/>
      <c r="D406" s="743"/>
      <c r="E406" s="743"/>
      <c r="F406" s="743"/>
      <c r="G406" s="743"/>
      <c r="H406" s="743"/>
      <c r="I406" s="743"/>
      <c r="J406" s="744"/>
    </row>
    <row r="407" spans="1:10" ht="12.75" customHeight="1" x14ac:dyDescent="0.2">
      <c r="A407" s="742"/>
      <c r="B407" s="743"/>
      <c r="C407" s="743"/>
      <c r="D407" s="743"/>
      <c r="E407" s="743"/>
      <c r="F407" s="743"/>
      <c r="G407" s="743"/>
      <c r="H407" s="743"/>
      <c r="I407" s="743"/>
      <c r="J407" s="744"/>
    </row>
    <row r="408" spans="1:10" ht="12.75" customHeight="1" x14ac:dyDescent="0.2">
      <c r="A408" s="742"/>
      <c r="B408" s="743"/>
      <c r="C408" s="743"/>
      <c r="D408" s="743"/>
      <c r="E408" s="743"/>
      <c r="F408" s="743"/>
      <c r="G408" s="743"/>
      <c r="H408" s="743"/>
      <c r="I408" s="743"/>
      <c r="J408" s="744"/>
    </row>
    <row r="409" spans="1:10" ht="12.75" customHeight="1" x14ac:dyDescent="0.2">
      <c r="A409" s="742"/>
      <c r="B409" s="743"/>
      <c r="C409" s="743"/>
      <c r="D409" s="743"/>
      <c r="E409" s="743"/>
      <c r="F409" s="743"/>
      <c r="G409" s="743"/>
      <c r="H409" s="743"/>
      <c r="I409" s="743"/>
      <c r="J409" s="744"/>
    </row>
    <row r="410" spans="1:10" ht="12.75" customHeight="1" x14ac:dyDescent="0.2">
      <c r="A410" s="742"/>
      <c r="B410" s="743"/>
      <c r="C410" s="743"/>
      <c r="D410" s="743"/>
      <c r="E410" s="743"/>
      <c r="F410" s="743"/>
      <c r="G410" s="743"/>
      <c r="H410" s="743"/>
      <c r="I410" s="743"/>
      <c r="J410" s="744"/>
    </row>
    <row r="411" spans="1:10" ht="12.75" customHeight="1" x14ac:dyDescent="0.2">
      <c r="A411" s="742"/>
      <c r="B411" s="743"/>
      <c r="C411" s="743"/>
      <c r="D411" s="743"/>
      <c r="E411" s="743"/>
      <c r="F411" s="743"/>
      <c r="G411" s="743"/>
      <c r="H411" s="743"/>
      <c r="I411" s="743"/>
      <c r="J411" s="744"/>
    </row>
    <row r="412" spans="1:10" ht="12.75" customHeight="1" x14ac:dyDescent="0.2">
      <c r="A412" s="742"/>
      <c r="B412" s="743"/>
      <c r="C412" s="743"/>
      <c r="D412" s="743"/>
      <c r="E412" s="743"/>
      <c r="F412" s="743"/>
      <c r="G412" s="743"/>
      <c r="H412" s="743"/>
      <c r="I412" s="743"/>
      <c r="J412" s="744"/>
    </row>
    <row r="413" spans="1:10" ht="12.75" customHeight="1" x14ac:dyDescent="0.2">
      <c r="A413" s="742"/>
      <c r="B413" s="743"/>
      <c r="C413" s="743"/>
      <c r="D413" s="743"/>
      <c r="E413" s="743"/>
      <c r="F413" s="743"/>
      <c r="G413" s="743"/>
      <c r="H413" s="743"/>
      <c r="I413" s="743"/>
      <c r="J413" s="744"/>
    </row>
    <row r="414" spans="1:10" ht="12.75" customHeight="1" x14ac:dyDescent="0.2">
      <c r="A414" s="742"/>
      <c r="B414" s="743"/>
      <c r="C414" s="743"/>
      <c r="D414" s="743"/>
      <c r="E414" s="743"/>
      <c r="F414" s="743"/>
      <c r="G414" s="743"/>
      <c r="H414" s="743"/>
      <c r="I414" s="743"/>
      <c r="J414" s="744"/>
    </row>
    <row r="415" spans="1:10" ht="12.75" customHeight="1" x14ac:dyDescent="0.2">
      <c r="A415" s="742"/>
      <c r="B415" s="743"/>
      <c r="C415" s="743"/>
      <c r="D415" s="743"/>
      <c r="E415" s="743"/>
      <c r="F415" s="743"/>
      <c r="G415" s="743"/>
      <c r="H415" s="743"/>
      <c r="I415" s="743"/>
      <c r="J415" s="744"/>
    </row>
    <row r="416" spans="1:10" ht="12.75" customHeight="1" x14ac:dyDescent="0.2">
      <c r="A416" s="742"/>
      <c r="B416" s="743"/>
      <c r="C416" s="743"/>
      <c r="D416" s="743"/>
      <c r="E416" s="743"/>
      <c r="F416" s="743"/>
      <c r="G416" s="743"/>
      <c r="H416" s="743"/>
      <c r="I416" s="743"/>
      <c r="J416" s="744"/>
    </row>
    <row r="417" spans="1:10" ht="12.75" customHeight="1" x14ac:dyDescent="0.2">
      <c r="A417" s="742"/>
      <c r="B417" s="743"/>
      <c r="C417" s="743"/>
      <c r="D417" s="743"/>
      <c r="E417" s="743"/>
      <c r="F417" s="743"/>
      <c r="G417" s="743"/>
      <c r="H417" s="743"/>
      <c r="I417" s="743"/>
      <c r="J417" s="744"/>
    </row>
    <row r="418" spans="1:10" ht="12.75" customHeight="1" x14ac:dyDescent="0.2">
      <c r="A418" s="742"/>
      <c r="B418" s="743"/>
      <c r="C418" s="743"/>
      <c r="D418" s="743"/>
      <c r="E418" s="743"/>
      <c r="F418" s="743"/>
      <c r="G418" s="743"/>
      <c r="H418" s="743"/>
      <c r="I418" s="743"/>
      <c r="J418" s="744"/>
    </row>
    <row r="419" spans="1:10" ht="12.75" customHeight="1" x14ac:dyDescent="0.2">
      <c r="A419" s="742"/>
      <c r="B419" s="743"/>
      <c r="C419" s="743"/>
      <c r="D419" s="743"/>
      <c r="E419" s="743"/>
      <c r="F419" s="743"/>
      <c r="G419" s="743"/>
      <c r="H419" s="743"/>
      <c r="I419" s="743"/>
      <c r="J419" s="744"/>
    </row>
    <row r="420" spans="1:10" ht="12.75" customHeight="1" thickBot="1" x14ac:dyDescent="0.25">
      <c r="A420" s="748"/>
      <c r="B420" s="749"/>
      <c r="C420" s="749"/>
      <c r="D420" s="749"/>
      <c r="E420" s="749"/>
      <c r="F420" s="749"/>
      <c r="G420" s="749"/>
      <c r="H420" s="749"/>
      <c r="I420" s="749"/>
      <c r="J420" s="750"/>
    </row>
    <row r="421" spans="1:10" ht="12.75" customHeight="1" thickTop="1" x14ac:dyDescent="0.2"/>
  </sheetData>
  <sheetProtection formatRows="0"/>
  <mergeCells count="65">
    <mergeCell ref="A386:J420"/>
    <mergeCell ref="A6:J11"/>
    <mergeCell ref="A12:J16"/>
    <mergeCell ref="A344:J378"/>
    <mergeCell ref="A380:E380"/>
    <mergeCell ref="F380:J380"/>
    <mergeCell ref="A381:E381"/>
    <mergeCell ref="F381:J381"/>
    <mergeCell ref="A382:J385"/>
    <mergeCell ref="A302:J336"/>
    <mergeCell ref="A338:E338"/>
    <mergeCell ref="F338:J338"/>
    <mergeCell ref="A339:E339"/>
    <mergeCell ref="F339:J339"/>
    <mergeCell ref="A340:J343"/>
    <mergeCell ref="A213:E213"/>
    <mergeCell ref="F213:J213"/>
    <mergeCell ref="A214:J217"/>
    <mergeCell ref="A298:J301"/>
    <mergeCell ref="A218:J252"/>
    <mergeCell ref="A254:E254"/>
    <mergeCell ref="F254:J254"/>
    <mergeCell ref="A255:E255"/>
    <mergeCell ref="F255:J255"/>
    <mergeCell ref="A256:J259"/>
    <mergeCell ref="A260:J294"/>
    <mergeCell ref="A296:E296"/>
    <mergeCell ref="F296:J296"/>
    <mergeCell ref="A297:E297"/>
    <mergeCell ref="F297:J297"/>
    <mergeCell ref="A171:E171"/>
    <mergeCell ref="F171:J171"/>
    <mergeCell ref="A172:J175"/>
    <mergeCell ref="A176:J210"/>
    <mergeCell ref="A212:E212"/>
    <mergeCell ref="F212:J212"/>
    <mergeCell ref="A129:E129"/>
    <mergeCell ref="F129:J129"/>
    <mergeCell ref="A130:J133"/>
    <mergeCell ref="A134:J168"/>
    <mergeCell ref="A170:E170"/>
    <mergeCell ref="F170:J170"/>
    <mergeCell ref="A87:E87"/>
    <mergeCell ref="F87:J87"/>
    <mergeCell ref="A88:J91"/>
    <mergeCell ref="A92:J126"/>
    <mergeCell ref="A128:E128"/>
    <mergeCell ref="F128:J128"/>
    <mergeCell ref="A45:E45"/>
    <mergeCell ref="F45:J45"/>
    <mergeCell ref="A46:J49"/>
    <mergeCell ref="A50:J84"/>
    <mergeCell ref="A86:E86"/>
    <mergeCell ref="F86:J86"/>
    <mergeCell ref="A1:J2"/>
    <mergeCell ref="A3:J5"/>
    <mergeCell ref="A18:J18"/>
    <mergeCell ref="A27:J42"/>
    <mergeCell ref="A44:E44"/>
    <mergeCell ref="F44:J44"/>
    <mergeCell ref="A21:E21"/>
    <mergeCell ref="F21:J21"/>
    <mergeCell ref="A22:E22"/>
    <mergeCell ref="F22:J22"/>
    <mergeCell ref="A23:J26"/>
  </mergeCells>
  <dataValidations disablePrompts="1" count="3">
    <dataValidation type="list" allowBlank="1" showInputMessage="1" showErrorMessage="1" sqref="E50:E84 E386:E420 E344:E378 E302:E336 E260:E294 E218:E252 E176:E210 E134:E168 E92:E126 E27:E42">
      <formula1>program</formula1>
    </dataValidation>
    <dataValidation allowBlank="1" showInputMessage="1" showErrorMessage="1" promptTitle="Total Amount" prompt="Input the total amount of these funds being used to fund this individual's salary and benefits." sqref="F50:F84 F386:F420 F344:F378 F302:F336 F260:F294 F218:F252 F176:F210 F134:F168 F92:F126 F27:F42"/>
    <dataValidation type="textLength" operator="lessThan" allowBlank="1" showInputMessage="1" showErrorMessage="1" errorTitle="Too Much Text" error="Provide a brief description using no more than 100 characters here.  A more full description should be included within the narrative (tab 9)." sqref="G50:J84 G386:J420 G344:J378 G302:J336 G260:J294 G218:J252 G176:J210 G134:J168 G92:J126 G27:J42">
      <formula1>101</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P301"/>
  <sheetViews>
    <sheetView tabSelected="1" topLeftCell="A240" zoomScale="90" zoomScaleNormal="90" workbookViewId="0">
      <selection activeCell="H285" sqref="H285:K285"/>
    </sheetView>
  </sheetViews>
  <sheetFormatPr defaultColWidth="9.140625" defaultRowHeight="12.75" x14ac:dyDescent="0.2"/>
  <cols>
    <col min="1" max="1" width="46.28515625" style="1" bestFit="1" customWidth="1"/>
    <col min="2" max="7" width="15.7109375" style="1" customWidth="1"/>
    <col min="8" max="8" width="55.28515625" style="1" bestFit="1" customWidth="1"/>
    <col min="9" max="9" width="15.7109375" style="1" customWidth="1"/>
    <col min="10" max="10" width="15.7109375" style="233" customWidth="1"/>
    <col min="11" max="11" width="20.5703125" style="1" customWidth="1"/>
    <col min="12" max="13" width="9.140625" style="1" customWidth="1"/>
    <col min="14" max="14" width="32" style="1" customWidth="1"/>
    <col min="15" max="15" width="27.85546875" style="1" customWidth="1"/>
    <col min="16" max="18" width="14.5703125" style="1" bestFit="1" customWidth="1"/>
    <col min="19" max="19" width="13.5703125" style="1" bestFit="1" customWidth="1"/>
    <col min="20" max="20" width="12" style="1" bestFit="1" customWidth="1"/>
    <col min="21" max="21" width="13.5703125" style="1" bestFit="1" customWidth="1"/>
    <col min="22" max="16384" width="9.140625" style="1"/>
  </cols>
  <sheetData>
    <row r="1" spans="1:15" x14ac:dyDescent="0.2">
      <c r="A1" s="920" t="s">
        <v>190</v>
      </c>
      <c r="B1" s="921"/>
      <c r="C1" s="921"/>
      <c r="D1" s="921"/>
      <c r="E1" s="921"/>
      <c r="F1" s="921"/>
      <c r="G1" s="921"/>
      <c r="H1" s="921"/>
      <c r="I1" s="921"/>
      <c r="J1" s="921"/>
      <c r="K1" s="922"/>
    </row>
    <row r="2" spans="1:15" x14ac:dyDescent="0.2">
      <c r="A2" s="923"/>
      <c r="B2" s="502"/>
      <c r="C2" s="502"/>
      <c r="D2" s="502"/>
      <c r="E2" s="502"/>
      <c r="F2" s="502"/>
      <c r="G2" s="502"/>
      <c r="H2" s="502"/>
      <c r="I2" s="502"/>
      <c r="J2" s="502"/>
      <c r="K2" s="924"/>
    </row>
    <row r="3" spans="1:15" ht="12.75" customHeight="1" x14ac:dyDescent="0.2">
      <c r="A3" s="925" t="s">
        <v>504</v>
      </c>
      <c r="B3" s="674"/>
      <c r="C3" s="674"/>
      <c r="D3" s="674"/>
      <c r="E3" s="674"/>
      <c r="F3" s="674"/>
      <c r="G3" s="674"/>
      <c r="H3" s="674"/>
      <c r="I3" s="674"/>
      <c r="J3" s="674"/>
      <c r="K3" s="926"/>
    </row>
    <row r="4" spans="1:15" ht="12.75" customHeight="1" x14ac:dyDescent="0.2">
      <c r="A4" s="927"/>
      <c r="B4" s="706"/>
      <c r="C4" s="706"/>
      <c r="D4" s="706"/>
      <c r="E4" s="706"/>
      <c r="F4" s="706"/>
      <c r="G4" s="706"/>
      <c r="H4" s="706"/>
      <c r="I4" s="706"/>
      <c r="J4" s="706"/>
      <c r="K4" s="928"/>
    </row>
    <row r="5" spans="1:15" ht="12.75" customHeight="1" x14ac:dyDescent="0.2">
      <c r="A5" s="927"/>
      <c r="B5" s="706"/>
      <c r="C5" s="706"/>
      <c r="D5" s="706"/>
      <c r="E5" s="706"/>
      <c r="F5" s="706"/>
      <c r="G5" s="706"/>
      <c r="H5" s="706"/>
      <c r="I5" s="706"/>
      <c r="J5" s="706"/>
      <c r="K5" s="928"/>
    </row>
    <row r="6" spans="1:15" x14ac:dyDescent="0.2">
      <c r="A6" s="929"/>
      <c r="B6" s="677"/>
      <c r="C6" s="677"/>
      <c r="D6" s="677"/>
      <c r="E6" s="677"/>
      <c r="F6" s="677"/>
      <c r="G6" s="677"/>
      <c r="H6" s="677"/>
      <c r="I6" s="677"/>
      <c r="J6" s="677"/>
      <c r="K6" s="930"/>
    </row>
    <row r="7" spans="1:15" ht="18" customHeight="1" x14ac:dyDescent="0.2">
      <c r="A7" s="814" t="s">
        <v>40</v>
      </c>
      <c r="B7" s="814"/>
      <c r="C7" s="814"/>
      <c r="D7" s="814"/>
      <c r="E7" s="814"/>
      <c r="F7" s="814"/>
      <c r="G7" s="814"/>
      <c r="H7" s="814"/>
      <c r="I7" s="814"/>
      <c r="J7" s="814"/>
      <c r="K7" s="814"/>
    </row>
    <row r="8" spans="1:15" ht="18" customHeight="1" x14ac:dyDescent="0.2">
      <c r="A8" s="814"/>
      <c r="B8" s="814"/>
      <c r="C8" s="814"/>
      <c r="D8" s="814"/>
      <c r="E8" s="814"/>
      <c r="F8" s="814"/>
      <c r="G8" s="814"/>
      <c r="H8" s="814"/>
      <c r="I8" s="814"/>
      <c r="J8" s="814"/>
      <c r="K8" s="814"/>
    </row>
    <row r="9" spans="1:15" ht="15" customHeight="1" x14ac:dyDescent="0.2">
      <c r="A9" s="804" t="s">
        <v>41</v>
      </c>
      <c r="B9" s="793"/>
      <c r="C9" s="800" t="s">
        <v>42</v>
      </c>
      <c r="D9" s="800" t="s">
        <v>43</v>
      </c>
      <c r="E9" s="800" t="s">
        <v>117</v>
      </c>
      <c r="F9" s="816" t="s">
        <v>102</v>
      </c>
      <c r="G9" s="803" t="s">
        <v>103</v>
      </c>
      <c r="H9" s="804" t="s">
        <v>48</v>
      </c>
      <c r="I9" s="792"/>
      <c r="J9" s="792"/>
      <c r="K9" s="793"/>
    </row>
    <row r="10" spans="1:15" ht="15" customHeight="1" x14ac:dyDescent="0.2">
      <c r="A10" s="806"/>
      <c r="B10" s="796"/>
      <c r="C10" s="801"/>
      <c r="D10" s="801"/>
      <c r="E10" s="801"/>
      <c r="F10" s="817"/>
      <c r="G10" s="803"/>
      <c r="H10" s="806"/>
      <c r="I10" s="795"/>
      <c r="J10" s="795"/>
      <c r="K10" s="796"/>
    </row>
    <row r="11" spans="1:15" ht="15" customHeight="1" x14ac:dyDescent="0.2">
      <c r="A11" s="806"/>
      <c r="B11" s="796"/>
      <c r="C11" s="801"/>
      <c r="D11" s="801"/>
      <c r="E11" s="801"/>
      <c r="F11" s="817"/>
      <c r="G11" s="803"/>
      <c r="H11" s="806"/>
      <c r="I11" s="795"/>
      <c r="J11" s="795"/>
      <c r="K11" s="796"/>
    </row>
    <row r="12" spans="1:15" ht="15" customHeight="1" x14ac:dyDescent="0.2">
      <c r="A12" s="806"/>
      <c r="B12" s="796"/>
      <c r="C12" s="801"/>
      <c r="D12" s="801"/>
      <c r="E12" s="801"/>
      <c r="F12" s="817"/>
      <c r="G12" s="803"/>
      <c r="H12" s="806"/>
      <c r="I12" s="795"/>
      <c r="J12" s="795"/>
      <c r="K12" s="796"/>
    </row>
    <row r="13" spans="1:15" ht="15" customHeight="1" x14ac:dyDescent="0.2">
      <c r="A13" s="806"/>
      <c r="B13" s="796"/>
      <c r="C13" s="801"/>
      <c r="D13" s="801"/>
      <c r="E13" s="801"/>
      <c r="F13" s="817"/>
      <c r="G13" s="803"/>
      <c r="H13" s="806"/>
      <c r="I13" s="795"/>
      <c r="J13" s="795"/>
      <c r="K13" s="796"/>
    </row>
    <row r="14" spans="1:15" ht="15" customHeight="1" x14ac:dyDescent="0.2">
      <c r="A14" s="806"/>
      <c r="B14" s="796"/>
      <c r="C14" s="801"/>
      <c r="D14" s="801"/>
      <c r="E14" s="801"/>
      <c r="F14" s="817"/>
      <c r="G14" s="803"/>
      <c r="H14" s="806"/>
      <c r="I14" s="795"/>
      <c r="J14" s="795"/>
      <c r="K14" s="796"/>
    </row>
    <row r="15" spans="1:15" ht="15" customHeight="1" x14ac:dyDescent="0.2">
      <c r="A15" s="771" t="s">
        <v>1084</v>
      </c>
      <c r="B15" s="775"/>
      <c r="C15" s="27" t="s">
        <v>795</v>
      </c>
      <c r="D15" s="27" t="s">
        <v>51</v>
      </c>
      <c r="E15" s="27" t="s">
        <v>583</v>
      </c>
      <c r="F15" s="225">
        <v>1</v>
      </c>
      <c r="G15" s="29">
        <v>55267.519999999997</v>
      </c>
      <c r="H15" s="914" t="s">
        <v>796</v>
      </c>
      <c r="I15" s="915"/>
      <c r="J15" s="915"/>
      <c r="K15" s="916"/>
      <c r="L15" s="1">
        <f t="shared" ref="L15" si="0">COUNTBLANK(C15:K15)</f>
        <v>3</v>
      </c>
      <c r="M15" s="1" t="str">
        <f t="shared" ref="M15" si="1">IF(AND(A15&lt;&gt;"",L15&gt;3),"No","Yes")</f>
        <v>Yes</v>
      </c>
      <c r="N15" s="61" t="str">
        <f t="shared" ref="N15:N79" si="2">CONCATENATE(D15,E15)</f>
        <v>Support ServicesPriority Interventions</v>
      </c>
      <c r="O15" s="290"/>
    </row>
    <row r="16" spans="1:15" ht="15" customHeight="1" x14ac:dyDescent="0.2">
      <c r="A16" s="771" t="s">
        <v>1079</v>
      </c>
      <c r="B16" s="775"/>
      <c r="C16" s="27" t="s">
        <v>795</v>
      </c>
      <c r="D16" s="27" t="s">
        <v>51</v>
      </c>
      <c r="E16" s="27" t="s">
        <v>583</v>
      </c>
      <c r="F16" s="225">
        <v>1</v>
      </c>
      <c r="G16" s="254">
        <v>87000</v>
      </c>
      <c r="H16" s="914" t="s">
        <v>797</v>
      </c>
      <c r="I16" s="915"/>
      <c r="J16" s="915"/>
      <c r="K16" s="916"/>
      <c r="L16" s="1">
        <f t="shared" ref="L16:L73" si="3">COUNTBLANK(C16:K16)</f>
        <v>3</v>
      </c>
      <c r="M16" s="1" t="str">
        <f t="shared" ref="M16:M73" si="4">IF(AND(A16&lt;&gt;"",L16&gt;3),"No","Yes")</f>
        <v>Yes</v>
      </c>
      <c r="N16" s="61" t="str">
        <f t="shared" si="2"/>
        <v>Support ServicesPriority Interventions</v>
      </c>
      <c r="O16" s="290"/>
    </row>
    <row r="17" spans="1:15" ht="15" customHeight="1" x14ac:dyDescent="0.2">
      <c r="A17" s="771" t="s">
        <v>1080</v>
      </c>
      <c r="B17" s="775"/>
      <c r="C17" s="27" t="s">
        <v>795</v>
      </c>
      <c r="D17" s="27" t="s">
        <v>51</v>
      </c>
      <c r="E17" s="27" t="s">
        <v>583</v>
      </c>
      <c r="F17" s="225">
        <v>1</v>
      </c>
      <c r="G17" s="29">
        <v>82901.2</v>
      </c>
      <c r="H17" s="914" t="s">
        <v>798</v>
      </c>
      <c r="I17" s="915"/>
      <c r="J17" s="915"/>
      <c r="K17" s="916"/>
      <c r="L17" s="1">
        <f t="shared" si="3"/>
        <v>3</v>
      </c>
      <c r="M17" s="1" t="str">
        <f t="shared" si="4"/>
        <v>Yes</v>
      </c>
      <c r="N17" s="61" t="str">
        <f t="shared" si="2"/>
        <v>Support ServicesPriority Interventions</v>
      </c>
      <c r="O17" s="290"/>
    </row>
    <row r="18" spans="1:15" ht="15" customHeight="1" x14ac:dyDescent="0.2">
      <c r="A18" s="771" t="s">
        <v>1081</v>
      </c>
      <c r="B18" s="775"/>
      <c r="C18" s="27" t="s">
        <v>795</v>
      </c>
      <c r="D18" s="27" t="s">
        <v>51</v>
      </c>
      <c r="E18" s="27" t="s">
        <v>583</v>
      </c>
      <c r="F18" s="225">
        <v>1</v>
      </c>
      <c r="G18" s="29">
        <v>55267.47</v>
      </c>
      <c r="H18" s="914" t="s">
        <v>798</v>
      </c>
      <c r="I18" s="915"/>
      <c r="J18" s="915"/>
      <c r="K18" s="916"/>
      <c r="L18" s="1">
        <f t="shared" si="3"/>
        <v>3</v>
      </c>
      <c r="M18" s="1" t="str">
        <f t="shared" si="4"/>
        <v>Yes</v>
      </c>
      <c r="N18" s="61" t="str">
        <f t="shared" si="2"/>
        <v>Support ServicesPriority Interventions</v>
      </c>
      <c r="O18" s="290"/>
    </row>
    <row r="19" spans="1:15" ht="15" customHeight="1" x14ac:dyDescent="0.2">
      <c r="A19" s="771" t="s">
        <v>1082</v>
      </c>
      <c r="B19" s="775"/>
      <c r="C19" s="27" t="s">
        <v>795</v>
      </c>
      <c r="D19" s="27" t="s">
        <v>51</v>
      </c>
      <c r="E19" s="27" t="s">
        <v>583</v>
      </c>
      <c r="F19" s="225">
        <v>1</v>
      </c>
      <c r="G19" s="29">
        <v>90000</v>
      </c>
      <c r="H19" s="914" t="s">
        <v>799</v>
      </c>
      <c r="I19" s="915"/>
      <c r="J19" s="915"/>
      <c r="K19" s="916"/>
      <c r="L19" s="1">
        <f t="shared" si="3"/>
        <v>3</v>
      </c>
      <c r="M19" s="1" t="str">
        <f t="shared" si="4"/>
        <v>Yes</v>
      </c>
      <c r="N19" s="61" t="str">
        <f t="shared" si="2"/>
        <v>Support ServicesPriority Interventions</v>
      </c>
      <c r="O19" s="290"/>
    </row>
    <row r="20" spans="1:15" ht="15" customHeight="1" x14ac:dyDescent="0.2">
      <c r="A20" s="771" t="s">
        <v>1083</v>
      </c>
      <c r="B20" s="775"/>
      <c r="C20" s="27" t="s">
        <v>795</v>
      </c>
      <c r="D20" s="27" t="s">
        <v>51</v>
      </c>
      <c r="E20" s="27" t="s">
        <v>583</v>
      </c>
      <c r="F20" s="225">
        <v>1</v>
      </c>
      <c r="G20" s="29">
        <v>55267.47</v>
      </c>
      <c r="H20" s="914" t="s">
        <v>799</v>
      </c>
      <c r="I20" s="915"/>
      <c r="J20" s="915"/>
      <c r="K20" s="916"/>
      <c r="L20" s="1">
        <f t="shared" si="3"/>
        <v>3</v>
      </c>
      <c r="M20" s="1" t="str">
        <f t="shared" si="4"/>
        <v>Yes</v>
      </c>
      <c r="N20" s="61" t="str">
        <f t="shared" si="2"/>
        <v>Support ServicesPriority Interventions</v>
      </c>
      <c r="O20" s="290"/>
    </row>
    <row r="21" spans="1:15" ht="15" customHeight="1" x14ac:dyDescent="0.25">
      <c r="A21" s="884" t="s">
        <v>848</v>
      </c>
      <c r="B21" s="886"/>
      <c r="C21" s="207" t="s">
        <v>688</v>
      </c>
      <c r="D21" s="194" t="s">
        <v>51</v>
      </c>
      <c r="E21" s="194" t="s">
        <v>107</v>
      </c>
      <c r="F21" s="225">
        <v>1</v>
      </c>
      <c r="G21" s="251">
        <v>84624.56</v>
      </c>
      <c r="H21" s="884" t="s">
        <v>689</v>
      </c>
      <c r="I21" s="885"/>
      <c r="J21" s="885"/>
      <c r="K21" s="886"/>
      <c r="L21" s="1">
        <f t="shared" si="3"/>
        <v>3</v>
      </c>
      <c r="M21" s="1" t="str">
        <f t="shared" si="4"/>
        <v>Yes</v>
      </c>
      <c r="N21" s="61" t="str">
        <f t="shared" si="2"/>
        <v>Support ServicesHomeless</v>
      </c>
      <c r="O21" s="290"/>
    </row>
    <row r="22" spans="1:15" s="198" customFormat="1" ht="15" customHeight="1" x14ac:dyDescent="0.2">
      <c r="A22" s="878" t="s">
        <v>752</v>
      </c>
      <c r="B22" s="880"/>
      <c r="C22" s="196" t="s">
        <v>753</v>
      </c>
      <c r="D22" s="196" t="s">
        <v>94</v>
      </c>
      <c r="E22" s="196" t="s">
        <v>360</v>
      </c>
      <c r="F22" s="225">
        <v>1</v>
      </c>
      <c r="G22" s="253">
        <v>149850.73000000001</v>
      </c>
      <c r="H22" s="878" t="s">
        <v>808</v>
      </c>
      <c r="I22" s="879"/>
      <c r="J22" s="879"/>
      <c r="K22" s="880"/>
      <c r="L22" s="1">
        <f t="shared" si="3"/>
        <v>3</v>
      </c>
      <c r="M22" s="1" t="str">
        <f t="shared" si="4"/>
        <v>Yes</v>
      </c>
      <c r="N22" s="61" t="str">
        <f t="shared" si="2"/>
        <v>AdministrationNON SETASIDE</v>
      </c>
      <c r="O22" s="290"/>
    </row>
    <row r="23" spans="1:15" s="198" customFormat="1" ht="15" customHeight="1" x14ac:dyDescent="0.2">
      <c r="A23" s="878" t="s">
        <v>756</v>
      </c>
      <c r="B23" s="880"/>
      <c r="C23" s="196" t="s">
        <v>757</v>
      </c>
      <c r="D23" s="196" t="s">
        <v>94</v>
      </c>
      <c r="E23" s="196" t="s">
        <v>360</v>
      </c>
      <c r="F23" s="225">
        <v>1</v>
      </c>
      <c r="G23" s="253">
        <v>108730.35</v>
      </c>
      <c r="H23" s="878" t="s">
        <v>813</v>
      </c>
      <c r="I23" s="879"/>
      <c r="J23" s="879"/>
      <c r="K23" s="880"/>
      <c r="L23" s="1">
        <f t="shared" si="3"/>
        <v>3</v>
      </c>
      <c r="M23" s="1" t="str">
        <f t="shared" si="4"/>
        <v>Yes</v>
      </c>
      <c r="N23" s="61" t="str">
        <f t="shared" si="2"/>
        <v>AdministrationNON SETASIDE</v>
      </c>
      <c r="O23" s="290"/>
    </row>
    <row r="24" spans="1:15" s="198" customFormat="1" ht="15" customHeight="1" x14ac:dyDescent="0.2">
      <c r="A24" s="878" t="s">
        <v>760</v>
      </c>
      <c r="B24" s="880"/>
      <c r="C24" s="196" t="s">
        <v>761</v>
      </c>
      <c r="D24" s="196" t="s">
        <v>94</v>
      </c>
      <c r="E24" s="196" t="s">
        <v>360</v>
      </c>
      <c r="F24" s="225">
        <v>1</v>
      </c>
      <c r="G24" s="253">
        <v>86992.52</v>
      </c>
      <c r="H24" s="878" t="s">
        <v>806</v>
      </c>
      <c r="I24" s="879"/>
      <c r="J24" s="879"/>
      <c r="K24" s="880"/>
      <c r="L24" s="1">
        <f t="shared" si="3"/>
        <v>3</v>
      </c>
      <c r="M24" s="1" t="str">
        <f t="shared" si="4"/>
        <v>Yes</v>
      </c>
      <c r="N24" s="61" t="str">
        <f t="shared" si="2"/>
        <v>AdministrationNON SETASIDE</v>
      </c>
      <c r="O24" s="290"/>
    </row>
    <row r="25" spans="1:15" s="198" customFormat="1" ht="15" customHeight="1" x14ac:dyDescent="0.2">
      <c r="A25" s="878" t="s">
        <v>773</v>
      </c>
      <c r="B25" s="880"/>
      <c r="C25" s="196" t="s">
        <v>774</v>
      </c>
      <c r="D25" s="196" t="s">
        <v>94</v>
      </c>
      <c r="E25" s="196" t="s">
        <v>360</v>
      </c>
      <c r="F25" s="225">
        <v>1</v>
      </c>
      <c r="G25" s="253">
        <v>54878.71</v>
      </c>
      <c r="H25" s="878" t="s">
        <v>806</v>
      </c>
      <c r="I25" s="879"/>
      <c r="J25" s="879"/>
      <c r="K25" s="880"/>
      <c r="L25" s="1">
        <f t="shared" si="3"/>
        <v>3</v>
      </c>
      <c r="M25" s="1" t="str">
        <f t="shared" si="4"/>
        <v>Yes</v>
      </c>
      <c r="N25" s="61" t="str">
        <f t="shared" si="2"/>
        <v>AdministrationNON SETASIDE</v>
      </c>
      <c r="O25" s="290"/>
    </row>
    <row r="26" spans="1:15" s="198" customFormat="1" ht="15" customHeight="1" x14ac:dyDescent="0.2">
      <c r="A26" s="878" t="s">
        <v>762</v>
      </c>
      <c r="B26" s="880"/>
      <c r="C26" s="196" t="s">
        <v>763</v>
      </c>
      <c r="D26" s="196" t="s">
        <v>94</v>
      </c>
      <c r="E26" s="196" t="s">
        <v>360</v>
      </c>
      <c r="F26" s="225">
        <v>1</v>
      </c>
      <c r="G26" s="253">
        <v>73613.2</v>
      </c>
      <c r="H26" s="878" t="s">
        <v>806</v>
      </c>
      <c r="I26" s="879"/>
      <c r="J26" s="879"/>
      <c r="K26" s="880"/>
      <c r="L26" s="1">
        <f t="shared" si="3"/>
        <v>3</v>
      </c>
      <c r="M26" s="1" t="str">
        <f t="shared" si="4"/>
        <v>Yes</v>
      </c>
      <c r="N26" s="61" t="str">
        <f t="shared" si="2"/>
        <v>AdministrationNON SETASIDE</v>
      </c>
      <c r="O26" s="290"/>
    </row>
    <row r="27" spans="1:15" s="198" customFormat="1" ht="15" customHeight="1" x14ac:dyDescent="0.2">
      <c r="A27" s="878" t="s">
        <v>775</v>
      </c>
      <c r="B27" s="880"/>
      <c r="C27" s="196" t="s">
        <v>763</v>
      </c>
      <c r="D27" s="196" t="s">
        <v>94</v>
      </c>
      <c r="E27" s="196" t="s">
        <v>360</v>
      </c>
      <c r="F27" s="225">
        <v>1</v>
      </c>
      <c r="G27" s="253">
        <v>75705.11</v>
      </c>
      <c r="H27" s="878" t="s">
        <v>806</v>
      </c>
      <c r="I27" s="879"/>
      <c r="J27" s="879"/>
      <c r="K27" s="880"/>
      <c r="L27" s="1">
        <f t="shared" si="3"/>
        <v>3</v>
      </c>
      <c r="M27" s="1" t="str">
        <f t="shared" si="4"/>
        <v>Yes</v>
      </c>
      <c r="N27" s="61" t="str">
        <f t="shared" si="2"/>
        <v>AdministrationNON SETASIDE</v>
      </c>
      <c r="O27" s="290"/>
    </row>
    <row r="28" spans="1:15" s="198" customFormat="1" ht="15" customHeight="1" x14ac:dyDescent="0.2">
      <c r="A28" s="878" t="s">
        <v>772</v>
      </c>
      <c r="B28" s="880"/>
      <c r="C28" s="196" t="s">
        <v>761</v>
      </c>
      <c r="D28" s="196" t="s">
        <v>94</v>
      </c>
      <c r="E28" s="196" t="s">
        <v>360</v>
      </c>
      <c r="F28" s="225">
        <v>1</v>
      </c>
      <c r="G28" s="253">
        <v>84519.32</v>
      </c>
      <c r="H28" s="878" t="s">
        <v>806</v>
      </c>
      <c r="I28" s="879"/>
      <c r="J28" s="879"/>
      <c r="K28" s="880"/>
      <c r="L28" s="1">
        <f t="shared" si="3"/>
        <v>3</v>
      </c>
      <c r="M28" s="1" t="str">
        <f t="shared" si="4"/>
        <v>Yes</v>
      </c>
      <c r="N28" s="61" t="str">
        <f t="shared" si="2"/>
        <v>AdministrationNON SETASIDE</v>
      </c>
      <c r="O28" s="290"/>
    </row>
    <row r="29" spans="1:15" s="221" customFormat="1" ht="15" customHeight="1" x14ac:dyDescent="0.2">
      <c r="A29" s="901" t="s">
        <v>1154</v>
      </c>
      <c r="B29" s="903"/>
      <c r="C29" s="291" t="s">
        <v>774</v>
      </c>
      <c r="D29" s="291" t="s">
        <v>94</v>
      </c>
      <c r="E29" s="291" t="s">
        <v>360</v>
      </c>
      <c r="F29" s="292">
        <v>1</v>
      </c>
      <c r="G29" s="304">
        <v>60145.71</v>
      </c>
      <c r="H29" s="887" t="s">
        <v>806</v>
      </c>
      <c r="I29" s="888"/>
      <c r="J29" s="888"/>
      <c r="K29" s="889"/>
      <c r="L29" s="221">
        <f t="shared" si="3"/>
        <v>3</v>
      </c>
      <c r="M29" s="221" t="str">
        <f t="shared" si="4"/>
        <v>Yes</v>
      </c>
      <c r="N29" s="221" t="str">
        <f t="shared" si="2"/>
        <v>AdministrationNON SETASIDE</v>
      </c>
      <c r="O29" s="305"/>
    </row>
    <row r="30" spans="1:15" s="198" customFormat="1" ht="15" customHeight="1" x14ac:dyDescent="0.2">
      <c r="A30" s="878" t="s">
        <v>754</v>
      </c>
      <c r="B30" s="880"/>
      <c r="C30" s="196" t="s">
        <v>755</v>
      </c>
      <c r="D30" s="196" t="s">
        <v>94</v>
      </c>
      <c r="E30" s="196" t="s">
        <v>360</v>
      </c>
      <c r="F30" s="225">
        <v>1</v>
      </c>
      <c r="G30" s="253">
        <v>98388.71</v>
      </c>
      <c r="H30" s="878" t="s">
        <v>809</v>
      </c>
      <c r="I30" s="879"/>
      <c r="J30" s="879"/>
      <c r="K30" s="880"/>
      <c r="L30" s="1">
        <f t="shared" si="3"/>
        <v>3</v>
      </c>
      <c r="M30" s="1" t="str">
        <f t="shared" si="4"/>
        <v>Yes</v>
      </c>
      <c r="N30" s="61" t="str">
        <f t="shared" si="2"/>
        <v>AdministrationNON SETASIDE</v>
      </c>
      <c r="O30" s="290"/>
    </row>
    <row r="31" spans="1:15" s="198" customFormat="1" ht="15" customHeight="1" x14ac:dyDescent="0.2">
      <c r="A31" s="878" t="s">
        <v>778</v>
      </c>
      <c r="B31" s="880"/>
      <c r="C31" s="196" t="s">
        <v>779</v>
      </c>
      <c r="D31" s="196" t="s">
        <v>94</v>
      </c>
      <c r="E31" s="196" t="s">
        <v>360</v>
      </c>
      <c r="F31" s="225">
        <v>1</v>
      </c>
      <c r="G31" s="253">
        <v>106784.99</v>
      </c>
      <c r="H31" s="878" t="s">
        <v>810</v>
      </c>
      <c r="I31" s="879"/>
      <c r="J31" s="879"/>
      <c r="K31" s="880"/>
      <c r="L31" s="1">
        <f t="shared" si="3"/>
        <v>3</v>
      </c>
      <c r="M31" s="1" t="str">
        <f t="shared" si="4"/>
        <v>Yes</v>
      </c>
      <c r="N31" s="61" t="str">
        <f t="shared" si="2"/>
        <v>AdministrationNON SETASIDE</v>
      </c>
      <c r="O31" s="290"/>
    </row>
    <row r="32" spans="1:15" s="198" customFormat="1" ht="15" customHeight="1" x14ac:dyDescent="0.2">
      <c r="A32" s="878" t="s">
        <v>780</v>
      </c>
      <c r="B32" s="880"/>
      <c r="C32" s="196" t="s">
        <v>781</v>
      </c>
      <c r="D32" s="196" t="s">
        <v>94</v>
      </c>
      <c r="E32" s="196" t="s">
        <v>360</v>
      </c>
      <c r="F32" s="225">
        <v>1</v>
      </c>
      <c r="G32" s="253">
        <v>86992.52</v>
      </c>
      <c r="H32" s="878" t="s">
        <v>811</v>
      </c>
      <c r="I32" s="879"/>
      <c r="J32" s="879"/>
      <c r="K32" s="880"/>
      <c r="L32" s="1">
        <f t="shared" si="3"/>
        <v>3</v>
      </c>
      <c r="M32" s="1" t="str">
        <f t="shared" si="4"/>
        <v>Yes</v>
      </c>
      <c r="N32" s="61" t="str">
        <f t="shared" si="2"/>
        <v>AdministrationNON SETASIDE</v>
      </c>
      <c r="O32" s="290"/>
    </row>
    <row r="33" spans="1:15" s="198" customFormat="1" ht="15" customHeight="1" x14ac:dyDescent="0.2">
      <c r="A33" s="878" t="s">
        <v>776</v>
      </c>
      <c r="B33" s="880"/>
      <c r="C33" s="196" t="s">
        <v>777</v>
      </c>
      <c r="D33" s="196" t="s">
        <v>94</v>
      </c>
      <c r="E33" s="196" t="s">
        <v>360</v>
      </c>
      <c r="F33" s="225">
        <v>1</v>
      </c>
      <c r="G33" s="253">
        <v>67335.16</v>
      </c>
      <c r="H33" s="878" t="s">
        <v>687</v>
      </c>
      <c r="I33" s="879"/>
      <c r="J33" s="879"/>
      <c r="K33" s="880"/>
      <c r="L33" s="1">
        <f t="shared" si="3"/>
        <v>3</v>
      </c>
      <c r="M33" s="1" t="str">
        <f t="shared" si="4"/>
        <v>Yes</v>
      </c>
      <c r="N33" s="61" t="str">
        <f t="shared" si="2"/>
        <v>AdministrationNON SETASIDE</v>
      </c>
      <c r="O33" s="290"/>
    </row>
    <row r="34" spans="1:15" s="198" customFormat="1" ht="15" customHeight="1" x14ac:dyDescent="0.2">
      <c r="A34" s="878" t="s">
        <v>770</v>
      </c>
      <c r="B34" s="880"/>
      <c r="C34" s="196" t="s">
        <v>771</v>
      </c>
      <c r="D34" s="196" t="s">
        <v>94</v>
      </c>
      <c r="E34" s="196" t="s">
        <v>360</v>
      </c>
      <c r="F34" s="225">
        <v>1</v>
      </c>
      <c r="G34" s="253">
        <v>58390.42</v>
      </c>
      <c r="H34" s="878" t="s">
        <v>812</v>
      </c>
      <c r="I34" s="879"/>
      <c r="J34" s="879"/>
      <c r="K34" s="880"/>
      <c r="L34" s="1">
        <f t="shared" si="3"/>
        <v>3</v>
      </c>
      <c r="M34" s="1" t="str">
        <f t="shared" si="4"/>
        <v>Yes</v>
      </c>
      <c r="N34" s="61" t="str">
        <f t="shared" si="2"/>
        <v>AdministrationNON SETASIDE</v>
      </c>
      <c r="O34" s="290"/>
    </row>
    <row r="35" spans="1:15" s="198" customFormat="1" ht="15" customHeight="1" x14ac:dyDescent="0.2">
      <c r="A35" s="300" t="s">
        <v>1153</v>
      </c>
      <c r="B35" s="301"/>
      <c r="C35" s="302" t="s">
        <v>759</v>
      </c>
      <c r="D35" s="302" t="s">
        <v>94</v>
      </c>
      <c r="E35" s="302" t="s">
        <v>360</v>
      </c>
      <c r="F35" s="303">
        <v>1</v>
      </c>
      <c r="G35" s="304">
        <v>39000</v>
      </c>
      <c r="H35" s="901" t="s">
        <v>1162</v>
      </c>
      <c r="I35" s="902"/>
      <c r="J35" s="902"/>
      <c r="K35" s="903"/>
      <c r="L35" s="1">
        <f t="shared" ref="L35" si="5">COUNTBLANK(C35:K35)</f>
        <v>3</v>
      </c>
      <c r="M35" s="1" t="str">
        <f t="shared" ref="M35" si="6">IF(AND(A35&lt;&gt;"",L35&gt;3),"No","Yes")</f>
        <v>Yes</v>
      </c>
      <c r="N35" s="61" t="str">
        <f t="shared" ref="N35" si="7">CONCATENATE(D35,E35)</f>
        <v>AdministrationNON SETASIDE</v>
      </c>
      <c r="O35" s="290"/>
    </row>
    <row r="36" spans="1:15" s="198" customFormat="1" ht="15" customHeight="1" x14ac:dyDescent="0.2">
      <c r="A36" s="901" t="s">
        <v>758</v>
      </c>
      <c r="B36" s="903"/>
      <c r="C36" s="196" t="s">
        <v>759</v>
      </c>
      <c r="D36" s="196" t="s">
        <v>94</v>
      </c>
      <c r="E36" s="196" t="s">
        <v>360</v>
      </c>
      <c r="F36" s="225">
        <v>1</v>
      </c>
      <c r="G36" s="299">
        <v>19129.36</v>
      </c>
      <c r="H36" s="911" t="s">
        <v>1163</v>
      </c>
      <c r="I36" s="912"/>
      <c r="J36" s="912"/>
      <c r="K36" s="913"/>
      <c r="L36" s="1">
        <f t="shared" si="3"/>
        <v>3</v>
      </c>
      <c r="M36" s="1" t="str">
        <f t="shared" si="4"/>
        <v>Yes</v>
      </c>
      <c r="N36" s="61" t="str">
        <f t="shared" si="2"/>
        <v>AdministrationNON SETASIDE</v>
      </c>
      <c r="O36" s="290"/>
    </row>
    <row r="37" spans="1:15" s="198" customFormat="1" ht="15" customHeight="1" x14ac:dyDescent="0.2">
      <c r="A37" s="878" t="s">
        <v>764</v>
      </c>
      <c r="B37" s="880"/>
      <c r="C37" s="196" t="s">
        <v>765</v>
      </c>
      <c r="D37" s="196" t="s">
        <v>94</v>
      </c>
      <c r="E37" s="196" t="s">
        <v>360</v>
      </c>
      <c r="F37" s="225">
        <v>1</v>
      </c>
      <c r="G37" s="253">
        <v>73613.2</v>
      </c>
      <c r="H37" s="878" t="s">
        <v>814</v>
      </c>
      <c r="I37" s="879"/>
      <c r="J37" s="879"/>
      <c r="K37" s="880"/>
      <c r="L37" s="1">
        <f t="shared" si="3"/>
        <v>3</v>
      </c>
      <c r="M37" s="1" t="str">
        <f t="shared" si="4"/>
        <v>Yes</v>
      </c>
      <c r="N37" s="61" t="str">
        <f t="shared" si="2"/>
        <v>AdministrationNON SETASIDE</v>
      </c>
      <c r="O37" s="290"/>
    </row>
    <row r="38" spans="1:15" s="198" customFormat="1" ht="15" customHeight="1" x14ac:dyDescent="0.2">
      <c r="A38" s="878" t="s">
        <v>768</v>
      </c>
      <c r="B38" s="880"/>
      <c r="C38" s="196" t="s">
        <v>769</v>
      </c>
      <c r="D38" s="196" t="s">
        <v>94</v>
      </c>
      <c r="E38" s="196" t="s">
        <v>360</v>
      </c>
      <c r="F38" s="225">
        <v>1</v>
      </c>
      <c r="G38" s="253">
        <v>84519.32</v>
      </c>
      <c r="H38" s="878" t="s">
        <v>807</v>
      </c>
      <c r="I38" s="879"/>
      <c r="J38" s="879"/>
      <c r="K38" s="880"/>
      <c r="L38" s="1">
        <f t="shared" si="3"/>
        <v>3</v>
      </c>
      <c r="M38" s="1" t="str">
        <f t="shared" si="4"/>
        <v>Yes</v>
      </c>
      <c r="N38" s="61" t="str">
        <f t="shared" si="2"/>
        <v>AdministrationNON SETASIDE</v>
      </c>
      <c r="O38" s="290"/>
    </row>
    <row r="39" spans="1:15" s="198" customFormat="1" ht="15" customHeight="1" x14ac:dyDescent="0.2">
      <c r="A39" s="878" t="s">
        <v>766</v>
      </c>
      <c r="B39" s="880"/>
      <c r="C39" s="196" t="s">
        <v>767</v>
      </c>
      <c r="D39" s="196" t="s">
        <v>94</v>
      </c>
      <c r="E39" s="196" t="s">
        <v>360</v>
      </c>
      <c r="F39" s="225">
        <v>1</v>
      </c>
      <c r="G39" s="253">
        <v>63726.879999999997</v>
      </c>
      <c r="H39" s="878" t="s">
        <v>859</v>
      </c>
      <c r="I39" s="879"/>
      <c r="J39" s="879"/>
      <c r="K39" s="880"/>
      <c r="L39" s="1">
        <f t="shared" si="3"/>
        <v>3</v>
      </c>
      <c r="M39" s="1" t="str">
        <f t="shared" si="4"/>
        <v>Yes</v>
      </c>
      <c r="N39" s="61" t="str">
        <f t="shared" si="2"/>
        <v>AdministrationNON SETASIDE</v>
      </c>
      <c r="O39" s="290"/>
    </row>
    <row r="40" spans="1:15" s="198" customFormat="1" ht="15" customHeight="1" x14ac:dyDescent="0.2">
      <c r="A40" s="878" t="s">
        <v>782</v>
      </c>
      <c r="B40" s="880"/>
      <c r="C40" s="196" t="s">
        <v>858</v>
      </c>
      <c r="D40" s="196" t="s">
        <v>94</v>
      </c>
      <c r="E40" s="196" t="s">
        <v>360</v>
      </c>
      <c r="F40" s="225">
        <v>1</v>
      </c>
      <c r="G40" s="253">
        <v>47680.09</v>
      </c>
      <c r="H40" s="878" t="s">
        <v>859</v>
      </c>
      <c r="I40" s="879"/>
      <c r="J40" s="879"/>
      <c r="K40" s="880"/>
      <c r="L40" s="1">
        <f t="shared" si="3"/>
        <v>3</v>
      </c>
      <c r="M40" s="1" t="str">
        <f t="shared" si="4"/>
        <v>Yes</v>
      </c>
      <c r="N40" s="61" t="str">
        <f t="shared" si="2"/>
        <v>AdministrationNON SETASIDE</v>
      </c>
      <c r="O40" s="290"/>
    </row>
    <row r="41" spans="1:15" s="61" customFormat="1" ht="15" customHeight="1" x14ac:dyDescent="0.2">
      <c r="A41" s="884" t="s">
        <v>849</v>
      </c>
      <c r="B41" s="886"/>
      <c r="C41" s="194" t="s">
        <v>690</v>
      </c>
      <c r="D41" s="194" t="s">
        <v>94</v>
      </c>
      <c r="E41" s="194" t="s">
        <v>360</v>
      </c>
      <c r="F41" s="225">
        <v>1</v>
      </c>
      <c r="G41" s="253">
        <v>41848.61</v>
      </c>
      <c r="H41" s="884" t="s">
        <v>691</v>
      </c>
      <c r="I41" s="885"/>
      <c r="J41" s="885"/>
      <c r="K41" s="886"/>
      <c r="L41" s="1">
        <f t="shared" si="3"/>
        <v>3</v>
      </c>
      <c r="M41" s="1" t="str">
        <f t="shared" si="4"/>
        <v>Yes</v>
      </c>
      <c r="N41" s="61" t="str">
        <f t="shared" si="2"/>
        <v>AdministrationNON SETASIDE</v>
      </c>
      <c r="O41" s="290"/>
    </row>
    <row r="42" spans="1:15" s="61" customFormat="1" ht="15" customHeight="1" x14ac:dyDescent="0.2">
      <c r="A42" s="884" t="s">
        <v>895</v>
      </c>
      <c r="B42" s="886"/>
      <c r="C42" s="194" t="s">
        <v>784</v>
      </c>
      <c r="D42" s="194" t="s">
        <v>51</v>
      </c>
      <c r="E42" s="194" t="s">
        <v>360</v>
      </c>
      <c r="F42" s="249">
        <v>1</v>
      </c>
      <c r="G42" s="253">
        <v>71520.14</v>
      </c>
      <c r="H42" s="884" t="s">
        <v>783</v>
      </c>
      <c r="I42" s="885"/>
      <c r="J42" s="885"/>
      <c r="K42" s="886"/>
      <c r="L42" s="61">
        <f t="shared" si="3"/>
        <v>3</v>
      </c>
      <c r="M42" s="61" t="str">
        <f t="shared" si="4"/>
        <v>Yes</v>
      </c>
      <c r="N42" s="61" t="str">
        <f t="shared" si="2"/>
        <v>Support ServicesNON SETASIDE</v>
      </c>
      <c r="O42" s="290"/>
    </row>
    <row r="43" spans="1:15" s="61" customFormat="1" ht="15" customHeight="1" x14ac:dyDescent="0.2">
      <c r="A43" s="884" t="s">
        <v>1042</v>
      </c>
      <c r="B43" s="886"/>
      <c r="C43" s="194" t="s">
        <v>785</v>
      </c>
      <c r="D43" s="194" t="s">
        <v>51</v>
      </c>
      <c r="E43" s="194" t="s">
        <v>360</v>
      </c>
      <c r="F43" s="249">
        <v>1</v>
      </c>
      <c r="G43" s="253">
        <v>63726.879999999997</v>
      </c>
      <c r="H43" s="884" t="s">
        <v>786</v>
      </c>
      <c r="I43" s="885"/>
      <c r="J43" s="885"/>
      <c r="K43" s="886"/>
      <c r="L43" s="61">
        <f t="shared" si="3"/>
        <v>3</v>
      </c>
      <c r="M43" s="61" t="str">
        <f t="shared" si="4"/>
        <v>Yes</v>
      </c>
      <c r="N43" s="61" t="str">
        <f t="shared" si="2"/>
        <v>Support ServicesNON SETASIDE</v>
      </c>
      <c r="O43" s="290"/>
    </row>
    <row r="44" spans="1:15" s="61" customFormat="1" ht="15" customHeight="1" x14ac:dyDescent="0.2">
      <c r="A44" s="884" t="s">
        <v>854</v>
      </c>
      <c r="B44" s="886"/>
      <c r="C44" s="194" t="s">
        <v>790</v>
      </c>
      <c r="D44" s="194" t="s">
        <v>51</v>
      </c>
      <c r="E44" s="194" t="s">
        <v>360</v>
      </c>
      <c r="F44" s="225">
        <v>1</v>
      </c>
      <c r="G44" s="251">
        <v>119416.63</v>
      </c>
      <c r="H44" s="884" t="s">
        <v>923</v>
      </c>
      <c r="I44" s="885"/>
      <c r="J44" s="885"/>
      <c r="K44" s="886"/>
      <c r="L44" s="61">
        <f t="shared" si="3"/>
        <v>3</v>
      </c>
      <c r="M44" s="61" t="str">
        <f t="shared" si="4"/>
        <v>Yes</v>
      </c>
      <c r="N44" s="61" t="str">
        <f t="shared" si="2"/>
        <v>Support ServicesNON SETASIDE</v>
      </c>
      <c r="O44" s="290"/>
    </row>
    <row r="45" spans="1:15" s="198" customFormat="1" ht="15" customHeight="1" x14ac:dyDescent="0.2">
      <c r="A45" s="878" t="s">
        <v>787</v>
      </c>
      <c r="B45" s="880"/>
      <c r="C45" s="196" t="s">
        <v>850</v>
      </c>
      <c r="D45" s="196" t="s">
        <v>51</v>
      </c>
      <c r="E45" s="196" t="s">
        <v>360</v>
      </c>
      <c r="F45" s="225">
        <v>1</v>
      </c>
      <c r="G45" s="251">
        <v>89466.87</v>
      </c>
      <c r="H45" s="878" t="s">
        <v>924</v>
      </c>
      <c r="I45" s="879"/>
      <c r="J45" s="879"/>
      <c r="K45" s="880"/>
      <c r="L45" s="1">
        <f t="shared" si="3"/>
        <v>3</v>
      </c>
      <c r="M45" s="1" t="str">
        <f t="shared" si="4"/>
        <v>Yes</v>
      </c>
      <c r="N45" s="61" t="str">
        <f t="shared" si="2"/>
        <v>Support ServicesNON SETASIDE</v>
      </c>
      <c r="O45" s="290"/>
    </row>
    <row r="46" spans="1:15" s="198" customFormat="1" ht="15" customHeight="1" x14ac:dyDescent="0.2">
      <c r="A46" s="878" t="s">
        <v>851</v>
      </c>
      <c r="B46" s="880"/>
      <c r="C46" s="196" t="s">
        <v>788</v>
      </c>
      <c r="D46" s="196" t="s">
        <v>51</v>
      </c>
      <c r="E46" s="196" t="s">
        <v>360</v>
      </c>
      <c r="F46" s="225">
        <v>1</v>
      </c>
      <c r="G46" s="251">
        <v>87194.04</v>
      </c>
      <c r="H46" s="878" t="s">
        <v>925</v>
      </c>
      <c r="I46" s="879"/>
      <c r="J46" s="879"/>
      <c r="K46" s="880"/>
      <c r="L46" s="1">
        <f t="shared" si="3"/>
        <v>3</v>
      </c>
      <c r="M46" s="1" t="str">
        <f t="shared" si="4"/>
        <v>Yes</v>
      </c>
      <c r="N46" s="61" t="str">
        <f t="shared" si="2"/>
        <v>Support ServicesNON SETASIDE</v>
      </c>
      <c r="O46" s="290"/>
    </row>
    <row r="47" spans="1:15" s="198" customFormat="1" ht="15" customHeight="1" x14ac:dyDescent="0.2">
      <c r="A47" s="878" t="s">
        <v>852</v>
      </c>
      <c r="B47" s="880"/>
      <c r="C47" s="196" t="s">
        <v>789</v>
      </c>
      <c r="D47" s="196" t="s">
        <v>51</v>
      </c>
      <c r="E47" s="196" t="s">
        <v>360</v>
      </c>
      <c r="F47" s="225">
        <v>1</v>
      </c>
      <c r="G47" s="251">
        <v>101187.09</v>
      </c>
      <c r="H47" s="878" t="s">
        <v>926</v>
      </c>
      <c r="I47" s="879"/>
      <c r="J47" s="879"/>
      <c r="K47" s="880"/>
      <c r="L47" s="1">
        <f t="shared" si="3"/>
        <v>3</v>
      </c>
      <c r="M47" s="1" t="str">
        <f t="shared" si="4"/>
        <v>Yes</v>
      </c>
      <c r="N47" s="61" t="str">
        <f t="shared" si="2"/>
        <v>Support ServicesNON SETASIDE</v>
      </c>
      <c r="O47" s="290"/>
    </row>
    <row r="48" spans="1:15" s="198" customFormat="1" ht="15" customHeight="1" x14ac:dyDescent="0.2">
      <c r="A48" s="878" t="s">
        <v>847</v>
      </c>
      <c r="B48" s="880"/>
      <c r="C48" s="196" t="s">
        <v>853</v>
      </c>
      <c r="D48" s="196" t="s">
        <v>51</v>
      </c>
      <c r="E48" s="196" t="s">
        <v>360</v>
      </c>
      <c r="F48" s="225">
        <v>1</v>
      </c>
      <c r="G48" s="251">
        <v>105825.48</v>
      </c>
      <c r="H48" s="878" t="s">
        <v>927</v>
      </c>
      <c r="I48" s="879"/>
      <c r="J48" s="879"/>
      <c r="K48" s="880"/>
      <c r="L48" s="1">
        <f t="shared" si="3"/>
        <v>3</v>
      </c>
      <c r="M48" s="1" t="str">
        <f t="shared" si="4"/>
        <v>Yes</v>
      </c>
      <c r="N48" s="61" t="str">
        <f t="shared" si="2"/>
        <v>Support ServicesNON SETASIDE</v>
      </c>
      <c r="O48" s="290"/>
    </row>
    <row r="49" spans="1:21" s="198" customFormat="1" ht="15" customHeight="1" x14ac:dyDescent="0.2">
      <c r="A49" s="878" t="s">
        <v>1085</v>
      </c>
      <c r="B49" s="880"/>
      <c r="C49" s="196" t="s">
        <v>855</v>
      </c>
      <c r="D49" s="196" t="s">
        <v>51</v>
      </c>
      <c r="E49" s="196" t="s">
        <v>360</v>
      </c>
      <c r="F49" s="225">
        <v>1</v>
      </c>
      <c r="G49" s="251">
        <v>77096.289999999994</v>
      </c>
      <c r="H49" s="878" t="s">
        <v>928</v>
      </c>
      <c r="I49" s="879"/>
      <c r="J49" s="879"/>
      <c r="K49" s="880"/>
      <c r="L49" s="1">
        <f t="shared" si="3"/>
        <v>3</v>
      </c>
      <c r="M49" s="1" t="str">
        <f t="shared" si="4"/>
        <v>Yes</v>
      </c>
      <c r="N49" s="61" t="str">
        <f t="shared" si="2"/>
        <v>Support ServicesNON SETASIDE</v>
      </c>
      <c r="O49" s="290"/>
    </row>
    <row r="50" spans="1:21" s="198" customFormat="1" ht="15" customHeight="1" x14ac:dyDescent="0.2">
      <c r="A50" s="881" t="s">
        <v>856</v>
      </c>
      <c r="B50" s="883"/>
      <c r="C50" s="196" t="s">
        <v>857</v>
      </c>
      <c r="D50" s="196" t="s">
        <v>94</v>
      </c>
      <c r="E50" s="196" t="s">
        <v>360</v>
      </c>
      <c r="F50" s="225">
        <v>1</v>
      </c>
      <c r="G50" s="251">
        <v>51648.66</v>
      </c>
      <c r="H50" s="881" t="s">
        <v>929</v>
      </c>
      <c r="I50" s="882"/>
      <c r="J50" s="882"/>
      <c r="K50" s="883"/>
      <c r="L50" s="1">
        <f t="shared" si="3"/>
        <v>3</v>
      </c>
      <c r="M50" s="1" t="str">
        <f t="shared" si="4"/>
        <v>Yes</v>
      </c>
      <c r="N50" s="61" t="str">
        <f t="shared" si="2"/>
        <v>AdministrationNON SETASIDE</v>
      </c>
      <c r="O50" s="290"/>
    </row>
    <row r="51" spans="1:21" s="61" customFormat="1" ht="15" customHeight="1" x14ac:dyDescent="0.2">
      <c r="A51" s="884" t="s">
        <v>792</v>
      </c>
      <c r="B51" s="886"/>
      <c r="C51" s="194" t="s">
        <v>791</v>
      </c>
      <c r="D51" s="194" t="s">
        <v>51</v>
      </c>
      <c r="E51" s="194" t="s">
        <v>360</v>
      </c>
      <c r="F51" s="249">
        <v>1</v>
      </c>
      <c r="G51" s="253">
        <v>169460</v>
      </c>
      <c r="H51" s="884" t="s">
        <v>794</v>
      </c>
      <c r="I51" s="885"/>
      <c r="J51" s="885"/>
      <c r="K51" s="886"/>
      <c r="L51" s="61">
        <f t="shared" si="3"/>
        <v>3</v>
      </c>
      <c r="M51" s="61" t="str">
        <f t="shared" si="4"/>
        <v>Yes</v>
      </c>
      <c r="N51" s="61" t="str">
        <f t="shared" si="2"/>
        <v>Support ServicesNON SETASIDE</v>
      </c>
      <c r="O51" s="311"/>
    </row>
    <row r="52" spans="1:21" s="61" customFormat="1" ht="15" customHeight="1" x14ac:dyDescent="0.2">
      <c r="A52" s="884" t="s">
        <v>793</v>
      </c>
      <c r="B52" s="886"/>
      <c r="C52" s="194" t="s">
        <v>791</v>
      </c>
      <c r="D52" s="194" t="s">
        <v>51</v>
      </c>
      <c r="E52" s="194" t="s">
        <v>360</v>
      </c>
      <c r="F52" s="249">
        <v>1</v>
      </c>
      <c r="G52" s="253">
        <v>166025</v>
      </c>
      <c r="H52" s="884" t="s">
        <v>794</v>
      </c>
      <c r="I52" s="885"/>
      <c r="J52" s="885"/>
      <c r="K52" s="886"/>
      <c r="L52" s="61">
        <f t="shared" si="3"/>
        <v>3</v>
      </c>
      <c r="M52" s="61" t="str">
        <f t="shared" si="4"/>
        <v>Yes</v>
      </c>
      <c r="N52" s="61" t="str">
        <f t="shared" si="2"/>
        <v>Support ServicesNON SETASIDE</v>
      </c>
      <c r="O52" s="311"/>
    </row>
    <row r="53" spans="1:21" s="221" customFormat="1" ht="15" customHeight="1" x14ac:dyDescent="0.2">
      <c r="A53" s="887" t="s">
        <v>1144</v>
      </c>
      <c r="B53" s="889"/>
      <c r="C53" s="291" t="s">
        <v>692</v>
      </c>
      <c r="D53" s="291" t="s">
        <v>50</v>
      </c>
      <c r="E53" s="291" t="s">
        <v>110</v>
      </c>
      <c r="F53" s="292">
        <v>0.5</v>
      </c>
      <c r="G53" s="307">
        <v>9581.61</v>
      </c>
      <c r="H53" s="887" t="s">
        <v>912</v>
      </c>
      <c r="I53" s="888"/>
      <c r="J53" s="888"/>
      <c r="K53" s="889"/>
      <c r="L53" s="221">
        <f t="shared" si="3"/>
        <v>3</v>
      </c>
      <c r="M53" s="221" t="str">
        <f t="shared" si="4"/>
        <v>Yes</v>
      </c>
      <c r="N53" s="221" t="str">
        <f t="shared" si="2"/>
        <v>InstructionNeg. &amp; Delinquent</v>
      </c>
      <c r="R53" s="320"/>
      <c r="U53" s="320"/>
    </row>
    <row r="54" spans="1:21" s="61" customFormat="1" ht="15" customHeight="1" x14ac:dyDescent="0.2">
      <c r="A54" s="884" t="s">
        <v>1057</v>
      </c>
      <c r="B54" s="886"/>
      <c r="C54" s="194" t="s">
        <v>1143</v>
      </c>
      <c r="D54" s="194" t="s">
        <v>50</v>
      </c>
      <c r="E54" s="194" t="s">
        <v>110</v>
      </c>
      <c r="F54" s="249">
        <v>0.5</v>
      </c>
      <c r="G54" s="195">
        <v>6240</v>
      </c>
      <c r="H54" s="296" t="s">
        <v>1142</v>
      </c>
      <c r="I54" s="297"/>
      <c r="J54" s="297"/>
      <c r="K54" s="298"/>
      <c r="L54" s="61">
        <f t="shared" ref="L54" si="8">COUNTBLANK(C54:K54)</f>
        <v>3</v>
      </c>
      <c r="M54" s="61" t="str">
        <f t="shared" ref="M54" si="9">IF(AND(A54&lt;&gt;"",L54&gt;3),"No","Yes")</f>
        <v>Yes</v>
      </c>
      <c r="N54" s="61" t="str">
        <f t="shared" ref="N54" si="10">CONCATENATE(D54,E54)</f>
        <v>InstructionNeg. &amp; Delinquent</v>
      </c>
    </row>
    <row r="55" spans="1:21" s="61" customFormat="1" ht="15" customHeight="1" x14ac:dyDescent="0.2">
      <c r="A55" s="892" t="s">
        <v>983</v>
      </c>
      <c r="B55" s="893"/>
      <c r="C55" s="239" t="s">
        <v>984</v>
      </c>
      <c r="D55" s="194" t="s">
        <v>50</v>
      </c>
      <c r="E55" s="194" t="s">
        <v>583</v>
      </c>
      <c r="F55" s="249">
        <v>1</v>
      </c>
      <c r="G55" s="195">
        <v>82901.2</v>
      </c>
      <c r="H55" s="884" t="s">
        <v>985</v>
      </c>
      <c r="I55" s="885"/>
      <c r="J55" s="885"/>
      <c r="K55" s="886"/>
      <c r="L55" s="61">
        <f t="shared" si="3"/>
        <v>3</v>
      </c>
      <c r="M55" s="61" t="str">
        <f t="shared" si="4"/>
        <v>Yes</v>
      </c>
      <c r="N55" s="61" t="str">
        <f t="shared" si="2"/>
        <v>InstructionPriority Interventions</v>
      </c>
      <c r="O55" s="311"/>
      <c r="R55" s="220"/>
    </row>
    <row r="56" spans="1:21" s="61" customFormat="1" ht="15" customHeight="1" x14ac:dyDescent="0.2">
      <c r="A56" s="892" t="s">
        <v>983</v>
      </c>
      <c r="B56" s="893"/>
      <c r="C56" s="194" t="s">
        <v>986</v>
      </c>
      <c r="D56" s="239" t="s">
        <v>51</v>
      </c>
      <c r="E56" s="194" t="s">
        <v>583</v>
      </c>
      <c r="F56" s="249">
        <v>1</v>
      </c>
      <c r="G56" s="195">
        <v>61787.73</v>
      </c>
      <c r="H56" s="884" t="s">
        <v>1050</v>
      </c>
      <c r="I56" s="885"/>
      <c r="J56" s="885"/>
      <c r="K56" s="886"/>
      <c r="L56" s="61">
        <f t="shared" si="3"/>
        <v>3</v>
      </c>
      <c r="M56" s="61" t="str">
        <f t="shared" si="4"/>
        <v>Yes</v>
      </c>
      <c r="N56" s="61" t="str">
        <f t="shared" si="2"/>
        <v>Support ServicesPriority Interventions</v>
      </c>
      <c r="O56" s="311"/>
      <c r="R56" s="222"/>
      <c r="U56" s="220"/>
    </row>
    <row r="57" spans="1:21" s="61" customFormat="1" ht="15" customHeight="1" x14ac:dyDescent="0.2">
      <c r="A57" s="892" t="s">
        <v>983</v>
      </c>
      <c r="B57" s="893"/>
      <c r="C57" s="239" t="s">
        <v>988</v>
      </c>
      <c r="D57" s="194" t="s">
        <v>50</v>
      </c>
      <c r="E57" s="194" t="s">
        <v>583</v>
      </c>
      <c r="F57" s="249">
        <v>0.5</v>
      </c>
      <c r="G57" s="195">
        <v>33178.18</v>
      </c>
      <c r="H57" s="884" t="s">
        <v>985</v>
      </c>
      <c r="I57" s="885"/>
      <c r="J57" s="885"/>
      <c r="K57" s="886"/>
      <c r="L57" s="61">
        <f t="shared" si="3"/>
        <v>3</v>
      </c>
      <c r="M57" s="61" t="str">
        <f t="shared" si="4"/>
        <v>Yes</v>
      </c>
      <c r="N57" s="61" t="str">
        <f t="shared" si="2"/>
        <v>InstructionPriority Interventions</v>
      </c>
      <c r="O57" s="311"/>
      <c r="R57" s="222"/>
      <c r="S57" s="222"/>
      <c r="T57" s="222"/>
      <c r="U57" s="220"/>
    </row>
    <row r="58" spans="1:21" s="61" customFormat="1" ht="15" customHeight="1" x14ac:dyDescent="0.2">
      <c r="A58" s="892" t="s">
        <v>983</v>
      </c>
      <c r="B58" s="893"/>
      <c r="C58" s="239" t="s">
        <v>989</v>
      </c>
      <c r="D58" s="194" t="s">
        <v>50</v>
      </c>
      <c r="E58" s="194" t="s">
        <v>583</v>
      </c>
      <c r="F58" s="249">
        <v>0.5</v>
      </c>
      <c r="G58" s="195">
        <v>9758.2900000000009</v>
      </c>
      <c r="H58" s="884" t="s">
        <v>985</v>
      </c>
      <c r="I58" s="885"/>
      <c r="J58" s="885"/>
      <c r="K58" s="886"/>
      <c r="L58" s="61">
        <f t="shared" si="3"/>
        <v>3</v>
      </c>
      <c r="M58" s="61" t="str">
        <f t="shared" si="4"/>
        <v>Yes</v>
      </c>
      <c r="N58" s="61" t="str">
        <f t="shared" si="2"/>
        <v>InstructionPriority Interventions</v>
      </c>
      <c r="O58" s="311"/>
      <c r="R58" s="222"/>
      <c r="S58" s="222"/>
      <c r="T58" s="222"/>
      <c r="U58" s="220"/>
    </row>
    <row r="59" spans="1:21" s="61" customFormat="1" ht="15" customHeight="1" x14ac:dyDescent="0.2">
      <c r="A59" s="892" t="s">
        <v>959</v>
      </c>
      <c r="B59" s="893"/>
      <c r="C59" s="239" t="s">
        <v>990</v>
      </c>
      <c r="D59" s="194" t="s">
        <v>50</v>
      </c>
      <c r="E59" s="194" t="s">
        <v>583</v>
      </c>
      <c r="F59" s="249">
        <v>0.5</v>
      </c>
      <c r="G59" s="195">
        <v>26611.07</v>
      </c>
      <c r="H59" s="884" t="s">
        <v>985</v>
      </c>
      <c r="I59" s="885"/>
      <c r="J59" s="885"/>
      <c r="K59" s="886"/>
      <c r="L59" s="61">
        <f t="shared" si="3"/>
        <v>3</v>
      </c>
      <c r="M59" s="61" t="str">
        <f t="shared" si="4"/>
        <v>Yes</v>
      </c>
      <c r="N59" s="61" t="str">
        <f t="shared" si="2"/>
        <v>InstructionPriority Interventions</v>
      </c>
      <c r="O59" s="311"/>
      <c r="R59" s="222"/>
      <c r="S59" s="222"/>
      <c r="T59" s="222"/>
      <c r="U59" s="220"/>
    </row>
    <row r="60" spans="1:21" s="61" customFormat="1" ht="15" customHeight="1" x14ac:dyDescent="0.2">
      <c r="A60" s="892" t="s">
        <v>959</v>
      </c>
      <c r="B60" s="893"/>
      <c r="C60" s="239" t="s">
        <v>990</v>
      </c>
      <c r="D60" s="194" t="s">
        <v>50</v>
      </c>
      <c r="E60" s="194" t="s">
        <v>583</v>
      </c>
      <c r="F60" s="249">
        <v>0.5</v>
      </c>
      <c r="G60" s="195">
        <v>12750</v>
      </c>
      <c r="H60" s="884" t="s">
        <v>985</v>
      </c>
      <c r="I60" s="885"/>
      <c r="J60" s="885"/>
      <c r="K60" s="886"/>
      <c r="L60" s="61">
        <f t="shared" si="3"/>
        <v>3</v>
      </c>
      <c r="M60" s="61" t="str">
        <f t="shared" si="4"/>
        <v>Yes</v>
      </c>
      <c r="N60" s="61" t="str">
        <f t="shared" si="2"/>
        <v>InstructionPriority Interventions</v>
      </c>
      <c r="O60" s="311"/>
      <c r="R60" s="222"/>
      <c r="S60" s="222"/>
      <c r="T60" s="222"/>
      <c r="U60" s="220"/>
    </row>
    <row r="61" spans="1:21" s="61" customFormat="1" ht="15" customHeight="1" x14ac:dyDescent="0.2">
      <c r="A61" s="892" t="s">
        <v>959</v>
      </c>
      <c r="B61" s="893"/>
      <c r="C61" s="239" t="s">
        <v>991</v>
      </c>
      <c r="D61" s="194" t="s">
        <v>50</v>
      </c>
      <c r="E61" s="194" t="s">
        <v>583</v>
      </c>
      <c r="F61" s="249">
        <v>1</v>
      </c>
      <c r="G61" s="195">
        <v>70190.28</v>
      </c>
      <c r="H61" s="884" t="s">
        <v>985</v>
      </c>
      <c r="I61" s="885"/>
      <c r="J61" s="885"/>
      <c r="K61" s="886"/>
      <c r="L61" s="61">
        <f t="shared" si="3"/>
        <v>3</v>
      </c>
      <c r="M61" s="61" t="str">
        <f t="shared" si="4"/>
        <v>Yes</v>
      </c>
      <c r="N61" s="61" t="str">
        <f t="shared" si="2"/>
        <v>InstructionPriority Interventions</v>
      </c>
      <c r="O61" s="311"/>
      <c r="R61" s="222"/>
    </row>
    <row r="62" spans="1:21" s="61" customFormat="1" ht="15" customHeight="1" x14ac:dyDescent="0.2">
      <c r="A62" s="892" t="s">
        <v>961</v>
      </c>
      <c r="B62" s="893"/>
      <c r="C62" s="239" t="s">
        <v>992</v>
      </c>
      <c r="D62" s="194" t="s">
        <v>50</v>
      </c>
      <c r="E62" s="194" t="s">
        <v>583</v>
      </c>
      <c r="F62" s="249">
        <v>0.5</v>
      </c>
      <c r="G62" s="195">
        <v>40767.96</v>
      </c>
      <c r="H62" s="884" t="s">
        <v>985</v>
      </c>
      <c r="I62" s="885"/>
      <c r="J62" s="885"/>
      <c r="K62" s="886"/>
      <c r="L62" s="61">
        <f t="shared" si="3"/>
        <v>3</v>
      </c>
      <c r="M62" s="61" t="str">
        <f t="shared" si="4"/>
        <v>Yes</v>
      </c>
      <c r="N62" s="61" t="str">
        <f t="shared" si="2"/>
        <v>InstructionPriority Interventions</v>
      </c>
      <c r="O62" s="311"/>
      <c r="R62" s="222"/>
    </row>
    <row r="63" spans="1:21" s="61" customFormat="1" ht="15" customHeight="1" x14ac:dyDescent="0.2">
      <c r="A63" s="892" t="s">
        <v>993</v>
      </c>
      <c r="B63" s="893"/>
      <c r="C63" s="239" t="s">
        <v>994</v>
      </c>
      <c r="D63" s="239" t="s">
        <v>51</v>
      </c>
      <c r="E63" s="194" t="s">
        <v>583</v>
      </c>
      <c r="F63" s="249">
        <v>0.5</v>
      </c>
      <c r="G63" s="195">
        <v>2550.17</v>
      </c>
      <c r="H63" s="884" t="s">
        <v>987</v>
      </c>
      <c r="I63" s="885"/>
      <c r="J63" s="885"/>
      <c r="K63" s="886"/>
      <c r="L63" s="61">
        <f t="shared" si="3"/>
        <v>3</v>
      </c>
      <c r="M63" s="61" t="str">
        <f t="shared" si="4"/>
        <v>Yes</v>
      </c>
      <c r="N63" s="61" t="str">
        <f t="shared" si="2"/>
        <v>Support ServicesPriority Interventions</v>
      </c>
      <c r="O63" s="311"/>
      <c r="R63" s="222"/>
    </row>
    <row r="64" spans="1:21" s="61" customFormat="1" ht="15" customHeight="1" x14ac:dyDescent="0.2">
      <c r="A64" s="892" t="s">
        <v>993</v>
      </c>
      <c r="B64" s="893"/>
      <c r="C64" s="239" t="s">
        <v>991</v>
      </c>
      <c r="D64" s="194" t="s">
        <v>50</v>
      </c>
      <c r="E64" s="194" t="s">
        <v>583</v>
      </c>
      <c r="F64" s="249">
        <v>0.5</v>
      </c>
      <c r="G64" s="195">
        <v>14156.02</v>
      </c>
      <c r="H64" s="884" t="s">
        <v>985</v>
      </c>
      <c r="I64" s="885"/>
      <c r="J64" s="885"/>
      <c r="K64" s="886"/>
      <c r="L64" s="61">
        <f t="shared" si="3"/>
        <v>3</v>
      </c>
      <c r="M64" s="61" t="str">
        <f t="shared" si="4"/>
        <v>Yes</v>
      </c>
      <c r="N64" s="61" t="str">
        <f t="shared" si="2"/>
        <v>InstructionPriority Interventions</v>
      </c>
      <c r="O64" s="311"/>
      <c r="R64" s="222"/>
      <c r="S64" s="222"/>
      <c r="T64" s="222"/>
      <c r="U64" s="220"/>
    </row>
    <row r="65" spans="1:120" s="61" customFormat="1" ht="15" customHeight="1" x14ac:dyDescent="0.2">
      <c r="A65" s="892" t="s">
        <v>993</v>
      </c>
      <c r="B65" s="893"/>
      <c r="C65" s="239" t="s">
        <v>995</v>
      </c>
      <c r="D65" s="194" t="s">
        <v>50</v>
      </c>
      <c r="E65" s="194" t="s">
        <v>583</v>
      </c>
      <c r="F65" s="249">
        <v>1</v>
      </c>
      <c r="G65" s="195">
        <v>82901.2</v>
      </c>
      <c r="H65" s="884" t="s">
        <v>985</v>
      </c>
      <c r="I65" s="885"/>
      <c r="J65" s="885"/>
      <c r="K65" s="886"/>
      <c r="L65" s="61">
        <f t="shared" si="3"/>
        <v>3</v>
      </c>
      <c r="M65" s="61" t="str">
        <f t="shared" si="4"/>
        <v>Yes</v>
      </c>
      <c r="N65" s="61" t="str">
        <f t="shared" si="2"/>
        <v>InstructionPriority Interventions</v>
      </c>
      <c r="O65" s="311"/>
      <c r="R65" s="222"/>
      <c r="S65" s="222"/>
      <c r="T65" s="222"/>
      <c r="U65" s="220"/>
    </row>
    <row r="66" spans="1:120" ht="15" customHeight="1" x14ac:dyDescent="0.2">
      <c r="A66" s="890" t="s">
        <v>993</v>
      </c>
      <c r="B66" s="891"/>
      <c r="C66" s="224" t="s">
        <v>996</v>
      </c>
      <c r="D66" s="194" t="s">
        <v>50</v>
      </c>
      <c r="E66" s="27" t="s">
        <v>583</v>
      </c>
      <c r="F66" s="225">
        <v>0.5</v>
      </c>
      <c r="G66" s="29">
        <v>9909.2199999999993</v>
      </c>
      <c r="H66" s="771" t="s">
        <v>985</v>
      </c>
      <c r="I66" s="772"/>
      <c r="J66" s="772"/>
      <c r="K66" s="775"/>
      <c r="L66" s="1">
        <f t="shared" si="3"/>
        <v>3</v>
      </c>
      <c r="M66" s="1" t="str">
        <f t="shared" si="4"/>
        <v>Yes</v>
      </c>
      <c r="N66" s="61" t="str">
        <f t="shared" si="2"/>
        <v>InstructionPriority Interventions</v>
      </c>
      <c r="O66" s="290"/>
      <c r="P66" s="61"/>
      <c r="Q66" s="61"/>
      <c r="R66" s="222"/>
      <c r="S66" s="222"/>
      <c r="T66" s="222"/>
      <c r="U66" s="220"/>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row>
    <row r="67" spans="1:120" ht="15" customHeight="1" x14ac:dyDescent="0.2">
      <c r="A67" s="890" t="s">
        <v>963</v>
      </c>
      <c r="B67" s="891"/>
      <c r="C67" s="224" t="s">
        <v>990</v>
      </c>
      <c r="D67" s="194" t="s">
        <v>50</v>
      </c>
      <c r="E67" s="27" t="s">
        <v>583</v>
      </c>
      <c r="F67" s="225">
        <v>0.5</v>
      </c>
      <c r="G67" s="29">
        <v>16110</v>
      </c>
      <c r="H67" s="771" t="s">
        <v>985</v>
      </c>
      <c r="I67" s="772"/>
      <c r="J67" s="772"/>
      <c r="K67" s="775"/>
      <c r="L67" s="1">
        <f t="shared" si="3"/>
        <v>3</v>
      </c>
      <c r="M67" s="1" t="str">
        <f t="shared" si="4"/>
        <v>Yes</v>
      </c>
      <c r="N67" s="61" t="str">
        <f t="shared" si="2"/>
        <v>InstructionPriority Interventions</v>
      </c>
      <c r="O67" s="290"/>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row>
    <row r="68" spans="1:120" ht="15" customHeight="1" x14ac:dyDescent="0.2">
      <c r="A68" s="890" t="s">
        <v>997</v>
      </c>
      <c r="B68" s="891"/>
      <c r="C68" s="224" t="s">
        <v>998</v>
      </c>
      <c r="D68" s="224" t="s">
        <v>51</v>
      </c>
      <c r="E68" s="27" t="s">
        <v>583</v>
      </c>
      <c r="F68" s="225">
        <v>0.5</v>
      </c>
      <c r="G68" s="29">
        <v>44237.57</v>
      </c>
      <c r="H68" s="771" t="s">
        <v>987</v>
      </c>
      <c r="I68" s="772"/>
      <c r="J68" s="772"/>
      <c r="K68" s="775"/>
      <c r="L68" s="1">
        <f t="shared" si="3"/>
        <v>3</v>
      </c>
      <c r="M68" s="1" t="str">
        <f t="shared" si="4"/>
        <v>Yes</v>
      </c>
      <c r="N68" s="61" t="str">
        <f t="shared" si="2"/>
        <v>Support ServicesPriority Interventions</v>
      </c>
      <c r="O68" s="290"/>
      <c r="Q68" s="219">
        <v>27005610.280000001</v>
      </c>
      <c r="R68" s="218">
        <f>Q68-14630402.9</f>
        <v>12375207.380000001</v>
      </c>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row>
    <row r="69" spans="1:120" ht="15" customHeight="1" x14ac:dyDescent="0.2">
      <c r="A69" s="890" t="s">
        <v>997</v>
      </c>
      <c r="B69" s="891"/>
      <c r="C69" s="224" t="s">
        <v>992</v>
      </c>
      <c r="D69" s="194" t="s">
        <v>50</v>
      </c>
      <c r="E69" s="27" t="s">
        <v>583</v>
      </c>
      <c r="F69" s="225">
        <v>0.5</v>
      </c>
      <c r="G69" s="29">
        <v>41450.550000000003</v>
      </c>
      <c r="H69" s="771" t="s">
        <v>985</v>
      </c>
      <c r="I69" s="772"/>
      <c r="J69" s="772"/>
      <c r="K69" s="775"/>
      <c r="L69" s="1">
        <f t="shared" si="3"/>
        <v>3</v>
      </c>
      <c r="M69" s="1" t="str">
        <f t="shared" si="4"/>
        <v>Yes</v>
      </c>
      <c r="N69" s="61" t="str">
        <f t="shared" si="2"/>
        <v>InstructionPriority Interventions</v>
      </c>
      <c r="O69" s="290"/>
      <c r="Q69" s="218">
        <f>K125+G155+G190+G230+G266+G301</f>
        <v>12430951.279999999</v>
      </c>
      <c r="R69" s="218">
        <f>R68-Q69</f>
        <v>-55743.89999999851</v>
      </c>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row>
    <row r="70" spans="1:120" ht="15" customHeight="1" x14ac:dyDescent="0.2">
      <c r="A70" s="890" t="s">
        <v>999</v>
      </c>
      <c r="B70" s="891"/>
      <c r="C70" s="224" t="s">
        <v>990</v>
      </c>
      <c r="D70" s="194" t="s">
        <v>50</v>
      </c>
      <c r="E70" s="27" t="s">
        <v>583</v>
      </c>
      <c r="F70" s="225">
        <v>0.5</v>
      </c>
      <c r="G70" s="29">
        <v>6970.39</v>
      </c>
      <c r="H70" s="771" t="s">
        <v>985</v>
      </c>
      <c r="I70" s="772"/>
      <c r="J70" s="772"/>
      <c r="K70" s="775"/>
      <c r="L70" s="1">
        <f t="shared" si="3"/>
        <v>3</v>
      </c>
      <c r="M70" s="1" t="str">
        <f t="shared" si="4"/>
        <v>Yes</v>
      </c>
      <c r="N70" s="61" t="str">
        <f t="shared" si="2"/>
        <v>InstructionPriority Interventions</v>
      </c>
      <c r="O70" s="290"/>
      <c r="R70" s="218">
        <f>R69/2</f>
        <v>-27871.949999999255</v>
      </c>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row>
    <row r="71" spans="1:120" ht="15" customHeight="1" x14ac:dyDescent="0.2">
      <c r="A71" s="890" t="s">
        <v>999</v>
      </c>
      <c r="B71" s="891"/>
      <c r="C71" s="224" t="s">
        <v>1000</v>
      </c>
      <c r="D71" s="224" t="s">
        <v>51</v>
      </c>
      <c r="E71" s="27" t="s">
        <v>583</v>
      </c>
      <c r="F71" s="225">
        <v>0.5</v>
      </c>
      <c r="G71" s="29">
        <v>46507.56</v>
      </c>
      <c r="H71" s="771" t="s">
        <v>987</v>
      </c>
      <c r="I71" s="772"/>
      <c r="J71" s="772"/>
      <c r="K71" s="775"/>
      <c r="L71" s="1">
        <f t="shared" si="3"/>
        <v>3</v>
      </c>
      <c r="M71" s="1" t="str">
        <f t="shared" si="4"/>
        <v>Yes</v>
      </c>
      <c r="N71" s="61" t="str">
        <f t="shared" si="2"/>
        <v>Support ServicesPriority Interventions</v>
      </c>
      <c r="O71" s="290"/>
      <c r="Q71" s="218"/>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row>
    <row r="72" spans="1:120" ht="15" customHeight="1" x14ac:dyDescent="0.2">
      <c r="A72" s="890" t="s">
        <v>999</v>
      </c>
      <c r="B72" s="891"/>
      <c r="C72" s="224" t="s">
        <v>1001</v>
      </c>
      <c r="D72" s="224" t="s">
        <v>51</v>
      </c>
      <c r="E72" s="27" t="s">
        <v>583</v>
      </c>
      <c r="F72" s="225">
        <v>0.5</v>
      </c>
      <c r="G72" s="29">
        <v>43943.519999999997</v>
      </c>
      <c r="H72" s="771" t="s">
        <v>987</v>
      </c>
      <c r="I72" s="772"/>
      <c r="J72" s="772"/>
      <c r="K72" s="775"/>
      <c r="L72" s="1">
        <f t="shared" si="3"/>
        <v>3</v>
      </c>
      <c r="M72" s="1" t="str">
        <f t="shared" si="4"/>
        <v>Yes</v>
      </c>
      <c r="N72" s="61" t="str">
        <f t="shared" si="2"/>
        <v>Support ServicesPriority Interventions</v>
      </c>
      <c r="O72" s="290"/>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row>
    <row r="73" spans="1:120" ht="15" customHeight="1" x14ac:dyDescent="0.2">
      <c r="A73" s="890" t="s">
        <v>999</v>
      </c>
      <c r="B73" s="891"/>
      <c r="C73" s="224" t="s">
        <v>1002</v>
      </c>
      <c r="D73" s="194" t="s">
        <v>50</v>
      </c>
      <c r="E73" s="27" t="s">
        <v>583</v>
      </c>
      <c r="F73" s="225">
        <v>0.5</v>
      </c>
      <c r="G73" s="29">
        <v>88316.39</v>
      </c>
      <c r="H73" s="771" t="s">
        <v>985</v>
      </c>
      <c r="I73" s="772"/>
      <c r="J73" s="772"/>
      <c r="K73" s="775"/>
      <c r="L73" s="1">
        <f t="shared" si="3"/>
        <v>3</v>
      </c>
      <c r="M73" s="1" t="str">
        <f t="shared" si="4"/>
        <v>Yes</v>
      </c>
      <c r="N73" s="61" t="str">
        <f t="shared" si="2"/>
        <v>InstructionPriority Interventions</v>
      </c>
      <c r="O73" s="290"/>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row>
    <row r="74" spans="1:120" s="221" customFormat="1" ht="15" customHeight="1" x14ac:dyDescent="0.2">
      <c r="A74" s="890" t="s">
        <v>1003</v>
      </c>
      <c r="B74" s="891"/>
      <c r="C74" s="224" t="s">
        <v>990</v>
      </c>
      <c r="D74" s="194" t="s">
        <v>50</v>
      </c>
      <c r="E74" s="27" t="s">
        <v>583</v>
      </c>
      <c r="F74" s="225">
        <v>0.5</v>
      </c>
      <c r="G74" s="29">
        <v>34313.61</v>
      </c>
      <c r="H74" s="771" t="s">
        <v>985</v>
      </c>
      <c r="I74" s="772"/>
      <c r="J74" s="772"/>
      <c r="K74" s="775"/>
      <c r="L74" s="1">
        <f t="shared" ref="L74:L124" si="11">COUNTBLANK(C74:K74)</f>
        <v>3</v>
      </c>
      <c r="M74" s="1" t="str">
        <f t="shared" ref="M74:M124" si="12">IF(AND(A74&lt;&gt;"",L74&gt;3),"No","Yes")</f>
        <v>Yes</v>
      </c>
      <c r="N74" s="61" t="str">
        <f t="shared" si="2"/>
        <v>InstructionPriority Interventions</v>
      </c>
      <c r="O74" s="290"/>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row>
    <row r="75" spans="1:120" s="221" customFormat="1" ht="15" customHeight="1" x14ac:dyDescent="0.2">
      <c r="A75" s="890" t="s">
        <v>1003</v>
      </c>
      <c r="B75" s="891"/>
      <c r="C75" s="224" t="s">
        <v>1000</v>
      </c>
      <c r="D75" s="224" t="s">
        <v>51</v>
      </c>
      <c r="E75" s="27" t="s">
        <v>583</v>
      </c>
      <c r="F75" s="225">
        <v>0.5</v>
      </c>
      <c r="G75" s="29">
        <v>46507.56</v>
      </c>
      <c r="H75" s="771" t="s">
        <v>987</v>
      </c>
      <c r="I75" s="772"/>
      <c r="J75" s="772"/>
      <c r="K75" s="775"/>
      <c r="L75" s="1">
        <f t="shared" si="11"/>
        <v>3</v>
      </c>
      <c r="M75" s="1" t="str">
        <f t="shared" si="12"/>
        <v>Yes</v>
      </c>
      <c r="N75" s="61" t="str">
        <f t="shared" si="2"/>
        <v>Support ServicesPriority Interventions</v>
      </c>
      <c r="O75" s="290"/>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row>
    <row r="76" spans="1:120" ht="15" customHeight="1" x14ac:dyDescent="0.2">
      <c r="A76" s="890" t="s">
        <v>1003</v>
      </c>
      <c r="B76" s="891"/>
      <c r="C76" s="224" t="s">
        <v>1004</v>
      </c>
      <c r="D76" s="194" t="s">
        <v>50</v>
      </c>
      <c r="E76" s="27" t="s">
        <v>583</v>
      </c>
      <c r="F76" s="225">
        <v>0.5</v>
      </c>
      <c r="G76" s="29">
        <v>50056.78</v>
      </c>
      <c r="H76" s="771" t="s">
        <v>985</v>
      </c>
      <c r="I76" s="772"/>
      <c r="J76" s="772"/>
      <c r="K76" s="775"/>
      <c r="L76" s="1">
        <f t="shared" si="11"/>
        <v>3</v>
      </c>
      <c r="M76" s="1" t="str">
        <f t="shared" si="12"/>
        <v>Yes</v>
      </c>
      <c r="N76" s="61" t="str">
        <f t="shared" si="2"/>
        <v>InstructionPriority Interventions</v>
      </c>
      <c r="O76" s="290"/>
    </row>
    <row r="77" spans="1:120" ht="15" customHeight="1" x14ac:dyDescent="0.2">
      <c r="A77" s="890" t="s">
        <v>1005</v>
      </c>
      <c r="B77" s="891"/>
      <c r="C77" s="224" t="s">
        <v>1006</v>
      </c>
      <c r="D77" s="224" t="s">
        <v>51</v>
      </c>
      <c r="E77" s="27" t="s">
        <v>583</v>
      </c>
      <c r="F77" s="225">
        <v>0.5</v>
      </c>
      <c r="G77" s="29">
        <v>26525.63</v>
      </c>
      <c r="H77" s="771" t="s">
        <v>987</v>
      </c>
      <c r="I77" s="772"/>
      <c r="J77" s="772"/>
      <c r="K77" s="775"/>
      <c r="L77" s="1">
        <f t="shared" si="11"/>
        <v>3</v>
      </c>
      <c r="M77" s="1" t="str">
        <f t="shared" si="12"/>
        <v>Yes</v>
      </c>
      <c r="N77" s="61" t="str">
        <f t="shared" si="2"/>
        <v>Support ServicesPriority Interventions</v>
      </c>
      <c r="O77" s="290"/>
    </row>
    <row r="78" spans="1:120" ht="15" customHeight="1" x14ac:dyDescent="0.2">
      <c r="A78" s="890" t="s">
        <v>1007</v>
      </c>
      <c r="B78" s="891"/>
      <c r="C78" s="224" t="s">
        <v>990</v>
      </c>
      <c r="D78" s="194" t="s">
        <v>50</v>
      </c>
      <c r="E78" s="27" t="s">
        <v>583</v>
      </c>
      <c r="F78" s="225">
        <v>0.5</v>
      </c>
      <c r="G78" s="29">
        <v>10740</v>
      </c>
      <c r="H78" s="771" t="s">
        <v>985</v>
      </c>
      <c r="I78" s="772"/>
      <c r="J78" s="772"/>
      <c r="K78" s="775"/>
      <c r="L78" s="1">
        <f t="shared" si="11"/>
        <v>3</v>
      </c>
      <c r="M78" s="1" t="str">
        <f t="shared" si="12"/>
        <v>Yes</v>
      </c>
      <c r="N78" s="61" t="str">
        <f t="shared" si="2"/>
        <v>InstructionPriority Interventions</v>
      </c>
      <c r="O78" s="290"/>
    </row>
    <row r="79" spans="1:120" ht="15" customHeight="1" x14ac:dyDescent="0.2">
      <c r="A79" s="890" t="s">
        <v>1007</v>
      </c>
      <c r="B79" s="891"/>
      <c r="C79" s="224" t="s">
        <v>1008</v>
      </c>
      <c r="D79" s="224" t="s">
        <v>51</v>
      </c>
      <c r="E79" s="27" t="s">
        <v>583</v>
      </c>
      <c r="F79" s="225">
        <v>0.5</v>
      </c>
      <c r="G79" s="29">
        <v>47776</v>
      </c>
      <c r="H79" s="771" t="s">
        <v>987</v>
      </c>
      <c r="I79" s="772"/>
      <c r="J79" s="772"/>
      <c r="K79" s="775"/>
      <c r="L79" s="1">
        <f t="shared" si="11"/>
        <v>3</v>
      </c>
      <c r="M79" s="1" t="str">
        <f t="shared" si="12"/>
        <v>Yes</v>
      </c>
      <c r="N79" s="61" t="str">
        <f t="shared" si="2"/>
        <v>Support ServicesPriority Interventions</v>
      </c>
      <c r="O79" s="290"/>
    </row>
    <row r="80" spans="1:120" ht="15" customHeight="1" x14ac:dyDescent="0.2">
      <c r="A80" s="890" t="s">
        <v>1007</v>
      </c>
      <c r="B80" s="891"/>
      <c r="C80" s="224" t="s">
        <v>991</v>
      </c>
      <c r="D80" s="194" t="s">
        <v>50</v>
      </c>
      <c r="E80" s="27" t="s">
        <v>583</v>
      </c>
      <c r="F80" s="225">
        <v>0.5</v>
      </c>
      <c r="G80" s="29">
        <v>30430</v>
      </c>
      <c r="H80" s="771" t="s">
        <v>985</v>
      </c>
      <c r="I80" s="772"/>
      <c r="J80" s="772"/>
      <c r="K80" s="775"/>
      <c r="L80" s="1">
        <f t="shared" si="11"/>
        <v>3</v>
      </c>
      <c r="M80" s="1" t="str">
        <f t="shared" si="12"/>
        <v>Yes</v>
      </c>
      <c r="N80" s="61" t="str">
        <f t="shared" ref="N80:N123" si="13">CONCATENATE(D80,E80)</f>
        <v>InstructionPriority Interventions</v>
      </c>
      <c r="O80" s="290"/>
    </row>
    <row r="81" spans="1:15" ht="15" customHeight="1" x14ac:dyDescent="0.2">
      <c r="A81" s="890" t="s">
        <v>1009</v>
      </c>
      <c r="B81" s="891"/>
      <c r="C81" s="224" t="s">
        <v>990</v>
      </c>
      <c r="D81" s="194" t="s">
        <v>50</v>
      </c>
      <c r="E81" s="27" t="s">
        <v>583</v>
      </c>
      <c r="F81" s="225">
        <v>0.5</v>
      </c>
      <c r="G81" s="29">
        <v>13973.87</v>
      </c>
      <c r="H81" s="771" t="s">
        <v>985</v>
      </c>
      <c r="I81" s="772"/>
      <c r="J81" s="772"/>
      <c r="K81" s="775"/>
      <c r="L81" s="1">
        <f t="shared" si="11"/>
        <v>3</v>
      </c>
      <c r="M81" s="1" t="str">
        <f t="shared" si="12"/>
        <v>Yes</v>
      </c>
      <c r="N81" s="61" t="str">
        <f t="shared" si="13"/>
        <v>InstructionPriority Interventions</v>
      </c>
      <c r="O81" s="290"/>
    </row>
    <row r="82" spans="1:15" ht="15" customHeight="1" x14ac:dyDescent="0.2">
      <c r="A82" s="890" t="s">
        <v>1009</v>
      </c>
      <c r="B82" s="891"/>
      <c r="C82" s="224" t="s">
        <v>1000</v>
      </c>
      <c r="D82" s="224" t="s">
        <v>51</v>
      </c>
      <c r="E82" s="27" t="s">
        <v>583</v>
      </c>
      <c r="F82" s="225">
        <v>0.5</v>
      </c>
      <c r="G82" s="29">
        <v>46507.56</v>
      </c>
      <c r="H82" s="771" t="s">
        <v>987</v>
      </c>
      <c r="I82" s="772"/>
      <c r="J82" s="772"/>
      <c r="K82" s="775"/>
      <c r="L82" s="1">
        <f t="shared" si="11"/>
        <v>3</v>
      </c>
      <c r="M82" s="1" t="str">
        <f t="shared" si="12"/>
        <v>Yes</v>
      </c>
      <c r="N82" s="61" t="str">
        <f t="shared" si="13"/>
        <v>Support ServicesPriority Interventions</v>
      </c>
      <c r="O82" s="290"/>
    </row>
    <row r="83" spans="1:15" ht="15" customHeight="1" x14ac:dyDescent="0.2">
      <c r="A83" s="890" t="s">
        <v>1009</v>
      </c>
      <c r="B83" s="891"/>
      <c r="C83" s="224" t="s">
        <v>1010</v>
      </c>
      <c r="D83" s="224" t="s">
        <v>51</v>
      </c>
      <c r="E83" s="27" t="s">
        <v>583</v>
      </c>
      <c r="F83" s="225">
        <v>0.5</v>
      </c>
      <c r="G83" s="29">
        <v>40937.97</v>
      </c>
      <c r="H83" s="771" t="s">
        <v>987</v>
      </c>
      <c r="I83" s="772"/>
      <c r="J83" s="772"/>
      <c r="K83" s="775"/>
      <c r="L83" s="1">
        <f t="shared" si="11"/>
        <v>3</v>
      </c>
      <c r="M83" s="1" t="str">
        <f t="shared" si="12"/>
        <v>Yes</v>
      </c>
      <c r="N83" s="61" t="str">
        <f t="shared" si="13"/>
        <v>Support ServicesPriority Interventions</v>
      </c>
      <c r="O83" s="290"/>
    </row>
    <row r="84" spans="1:15" ht="15" customHeight="1" x14ac:dyDescent="0.2">
      <c r="A84" s="890" t="s">
        <v>1009</v>
      </c>
      <c r="B84" s="891"/>
      <c r="C84" s="224" t="s">
        <v>988</v>
      </c>
      <c r="D84" s="194" t="s">
        <v>50</v>
      </c>
      <c r="E84" s="27" t="s">
        <v>583</v>
      </c>
      <c r="F84" s="225">
        <v>0.5</v>
      </c>
      <c r="G84" s="29">
        <v>32716.63</v>
      </c>
      <c r="H84" s="771" t="s">
        <v>985</v>
      </c>
      <c r="I84" s="772"/>
      <c r="J84" s="772"/>
      <c r="K84" s="775"/>
      <c r="L84" s="1">
        <f t="shared" si="11"/>
        <v>3</v>
      </c>
      <c r="M84" s="1" t="str">
        <f t="shared" si="12"/>
        <v>Yes</v>
      </c>
      <c r="N84" s="61" t="str">
        <f t="shared" si="13"/>
        <v>InstructionPriority Interventions</v>
      </c>
      <c r="O84" s="290"/>
    </row>
    <row r="85" spans="1:15" ht="15" customHeight="1" x14ac:dyDescent="0.2">
      <c r="A85" s="890" t="s">
        <v>729</v>
      </c>
      <c r="B85" s="891"/>
      <c r="C85" s="224" t="s">
        <v>990</v>
      </c>
      <c r="D85" s="194" t="s">
        <v>50</v>
      </c>
      <c r="E85" s="27" t="s">
        <v>583</v>
      </c>
      <c r="F85" s="225">
        <v>0.5</v>
      </c>
      <c r="G85" s="29">
        <v>24165</v>
      </c>
      <c r="H85" s="771" t="s">
        <v>985</v>
      </c>
      <c r="I85" s="772"/>
      <c r="J85" s="772"/>
      <c r="K85" s="775"/>
      <c r="L85" s="1">
        <f t="shared" si="11"/>
        <v>3</v>
      </c>
      <c r="M85" s="1" t="str">
        <f t="shared" si="12"/>
        <v>Yes</v>
      </c>
      <c r="N85" s="61" t="str">
        <f t="shared" si="13"/>
        <v>InstructionPriority Interventions</v>
      </c>
      <c r="O85" s="290"/>
    </row>
    <row r="86" spans="1:15" ht="15" customHeight="1" x14ac:dyDescent="0.2">
      <c r="A86" s="890" t="s">
        <v>729</v>
      </c>
      <c r="B86" s="891"/>
      <c r="C86" s="224" t="s">
        <v>1000</v>
      </c>
      <c r="D86" s="224" t="s">
        <v>51</v>
      </c>
      <c r="E86" s="27" t="s">
        <v>583</v>
      </c>
      <c r="F86" s="225">
        <v>0.5</v>
      </c>
      <c r="G86" s="29">
        <v>21145.46</v>
      </c>
      <c r="H86" s="771" t="s">
        <v>987</v>
      </c>
      <c r="I86" s="772"/>
      <c r="J86" s="772"/>
      <c r="K86" s="775"/>
      <c r="L86" s="1">
        <f t="shared" si="11"/>
        <v>3</v>
      </c>
      <c r="M86" s="1" t="str">
        <f t="shared" si="12"/>
        <v>Yes</v>
      </c>
      <c r="N86" s="61" t="str">
        <f t="shared" si="13"/>
        <v>Support ServicesPriority Interventions</v>
      </c>
      <c r="O86" s="290"/>
    </row>
    <row r="87" spans="1:15" ht="15" customHeight="1" x14ac:dyDescent="0.2">
      <c r="A87" s="890" t="s">
        <v>729</v>
      </c>
      <c r="B87" s="891"/>
      <c r="C87" s="224" t="s">
        <v>1011</v>
      </c>
      <c r="D87" s="224" t="s">
        <v>51</v>
      </c>
      <c r="E87" s="27" t="s">
        <v>583</v>
      </c>
      <c r="F87" s="225">
        <v>0.5</v>
      </c>
      <c r="G87" s="29">
        <v>26022.1</v>
      </c>
      <c r="H87" s="771" t="s">
        <v>987</v>
      </c>
      <c r="I87" s="772"/>
      <c r="J87" s="772"/>
      <c r="K87" s="775"/>
      <c r="L87" s="1">
        <f t="shared" si="11"/>
        <v>3</v>
      </c>
      <c r="M87" s="1" t="str">
        <f t="shared" si="12"/>
        <v>Yes</v>
      </c>
      <c r="N87" s="61" t="str">
        <f t="shared" si="13"/>
        <v>Support ServicesPriority Interventions</v>
      </c>
      <c r="O87" s="290"/>
    </row>
    <row r="88" spans="1:15" ht="15" customHeight="1" x14ac:dyDescent="0.2">
      <c r="A88" s="890" t="s">
        <v>729</v>
      </c>
      <c r="B88" s="891"/>
      <c r="C88" s="224" t="s">
        <v>991</v>
      </c>
      <c r="D88" s="194" t="s">
        <v>50</v>
      </c>
      <c r="E88" s="27" t="s">
        <v>583</v>
      </c>
      <c r="F88" s="225">
        <v>0.5</v>
      </c>
      <c r="G88" s="29">
        <v>21116.07</v>
      </c>
      <c r="H88" s="771" t="s">
        <v>985</v>
      </c>
      <c r="I88" s="772"/>
      <c r="J88" s="772"/>
      <c r="K88" s="775"/>
      <c r="L88" s="1">
        <f t="shared" si="11"/>
        <v>3</v>
      </c>
      <c r="M88" s="1" t="str">
        <f t="shared" si="12"/>
        <v>Yes</v>
      </c>
      <c r="N88" s="61" t="str">
        <f t="shared" si="13"/>
        <v>InstructionPriority Interventions</v>
      </c>
      <c r="O88" s="290"/>
    </row>
    <row r="89" spans="1:15" ht="15" customHeight="1" x14ac:dyDescent="0.2">
      <c r="A89" s="890" t="s">
        <v>1012</v>
      </c>
      <c r="B89" s="891"/>
      <c r="C89" s="224" t="s">
        <v>992</v>
      </c>
      <c r="D89" s="194" t="s">
        <v>50</v>
      </c>
      <c r="E89" s="27" t="s">
        <v>583</v>
      </c>
      <c r="F89" s="225">
        <v>0.5</v>
      </c>
      <c r="G89" s="29">
        <v>43370.17</v>
      </c>
      <c r="H89" s="771" t="s">
        <v>985</v>
      </c>
      <c r="I89" s="772"/>
      <c r="J89" s="772"/>
      <c r="K89" s="775"/>
      <c r="L89" s="1">
        <f t="shared" si="11"/>
        <v>3</v>
      </c>
      <c r="M89" s="1" t="str">
        <f t="shared" si="12"/>
        <v>Yes</v>
      </c>
      <c r="N89" s="61" t="str">
        <f t="shared" si="13"/>
        <v>InstructionPriority Interventions</v>
      </c>
      <c r="O89" s="290"/>
    </row>
    <row r="90" spans="1:15" ht="15" customHeight="1" x14ac:dyDescent="0.2">
      <c r="A90" s="890" t="s">
        <v>1013</v>
      </c>
      <c r="B90" s="891"/>
      <c r="C90" s="224" t="s">
        <v>990</v>
      </c>
      <c r="D90" s="194" t="s">
        <v>50</v>
      </c>
      <c r="E90" s="27" t="s">
        <v>583</v>
      </c>
      <c r="F90" s="225">
        <v>0.5</v>
      </c>
      <c r="G90" s="29">
        <v>5822.44</v>
      </c>
      <c r="H90" s="771" t="s">
        <v>985</v>
      </c>
      <c r="I90" s="772"/>
      <c r="J90" s="772"/>
      <c r="K90" s="775"/>
      <c r="L90" s="1">
        <f t="shared" si="11"/>
        <v>3</v>
      </c>
      <c r="M90" s="1" t="str">
        <f t="shared" si="12"/>
        <v>Yes</v>
      </c>
      <c r="N90" s="61" t="str">
        <f t="shared" si="13"/>
        <v>InstructionPriority Interventions</v>
      </c>
      <c r="O90" s="290"/>
    </row>
    <row r="91" spans="1:15" ht="15" customHeight="1" x14ac:dyDescent="0.2">
      <c r="A91" s="890" t="s">
        <v>1013</v>
      </c>
      <c r="B91" s="891"/>
      <c r="C91" s="224" t="s">
        <v>991</v>
      </c>
      <c r="D91" s="194" t="s">
        <v>50</v>
      </c>
      <c r="E91" s="27" t="s">
        <v>583</v>
      </c>
      <c r="F91" s="225">
        <v>0.5</v>
      </c>
      <c r="G91" s="29">
        <v>21234</v>
      </c>
      <c r="H91" s="771" t="s">
        <v>985</v>
      </c>
      <c r="I91" s="772"/>
      <c r="J91" s="772"/>
      <c r="K91" s="775"/>
      <c r="L91" s="1">
        <f t="shared" si="11"/>
        <v>3</v>
      </c>
      <c r="M91" s="1" t="str">
        <f t="shared" si="12"/>
        <v>Yes</v>
      </c>
      <c r="N91" s="61" t="str">
        <f t="shared" si="13"/>
        <v>InstructionPriority Interventions</v>
      </c>
      <c r="O91" s="290"/>
    </row>
    <row r="92" spans="1:15" ht="15" customHeight="1" x14ac:dyDescent="0.2">
      <c r="A92" s="890" t="s">
        <v>1013</v>
      </c>
      <c r="B92" s="891"/>
      <c r="C92" s="224" t="s">
        <v>1014</v>
      </c>
      <c r="D92" s="194" t="s">
        <v>50</v>
      </c>
      <c r="E92" s="27" t="s">
        <v>583</v>
      </c>
      <c r="F92" s="225">
        <v>0.5</v>
      </c>
      <c r="G92" s="29">
        <v>17564.900000000001</v>
      </c>
      <c r="H92" s="771" t="s">
        <v>985</v>
      </c>
      <c r="I92" s="772"/>
      <c r="J92" s="772"/>
      <c r="K92" s="775"/>
      <c r="L92" s="1">
        <f t="shared" si="11"/>
        <v>3</v>
      </c>
      <c r="M92" s="1" t="str">
        <f t="shared" si="12"/>
        <v>Yes</v>
      </c>
      <c r="N92" s="61" t="str">
        <f t="shared" si="13"/>
        <v>InstructionPriority Interventions</v>
      </c>
      <c r="O92" s="290"/>
    </row>
    <row r="93" spans="1:15" ht="15" customHeight="1" x14ac:dyDescent="0.2">
      <c r="A93" s="890" t="s">
        <v>1013</v>
      </c>
      <c r="B93" s="891"/>
      <c r="C93" s="224" t="s">
        <v>996</v>
      </c>
      <c r="D93" s="194" t="s">
        <v>50</v>
      </c>
      <c r="E93" s="27" t="s">
        <v>583</v>
      </c>
      <c r="F93" s="225">
        <v>0.5</v>
      </c>
      <c r="G93" s="29">
        <v>2359.7399999999998</v>
      </c>
      <c r="H93" s="771" t="s">
        <v>985</v>
      </c>
      <c r="I93" s="772"/>
      <c r="J93" s="772"/>
      <c r="K93" s="775"/>
      <c r="L93" s="1">
        <f t="shared" si="11"/>
        <v>3</v>
      </c>
      <c r="M93" s="1" t="str">
        <f t="shared" si="12"/>
        <v>Yes</v>
      </c>
      <c r="N93" s="61" t="str">
        <f t="shared" si="13"/>
        <v>InstructionPriority Interventions</v>
      </c>
      <c r="O93" s="290"/>
    </row>
    <row r="94" spans="1:15" ht="15" customHeight="1" x14ac:dyDescent="0.2">
      <c r="A94" s="890" t="s">
        <v>972</v>
      </c>
      <c r="B94" s="891"/>
      <c r="C94" s="224" t="s">
        <v>1011</v>
      </c>
      <c r="D94" s="224" t="s">
        <v>51</v>
      </c>
      <c r="E94" s="27" t="s">
        <v>583</v>
      </c>
      <c r="F94" s="225">
        <v>0.5</v>
      </c>
      <c r="G94" s="29">
        <v>39079.120000000003</v>
      </c>
      <c r="H94" s="771" t="s">
        <v>987</v>
      </c>
      <c r="I94" s="772"/>
      <c r="J94" s="772"/>
      <c r="K94" s="775"/>
      <c r="L94" s="1">
        <f t="shared" si="11"/>
        <v>3</v>
      </c>
      <c r="M94" s="1" t="str">
        <f t="shared" si="12"/>
        <v>Yes</v>
      </c>
      <c r="N94" s="61" t="str">
        <f t="shared" si="13"/>
        <v>Support ServicesPriority Interventions</v>
      </c>
      <c r="O94" s="290"/>
    </row>
    <row r="95" spans="1:15" ht="15" customHeight="1" x14ac:dyDescent="0.2">
      <c r="A95" s="890" t="s">
        <v>970</v>
      </c>
      <c r="B95" s="891"/>
      <c r="C95" s="224" t="s">
        <v>1015</v>
      </c>
      <c r="D95" s="194" t="s">
        <v>50</v>
      </c>
      <c r="E95" s="27" t="s">
        <v>583</v>
      </c>
      <c r="F95" s="225">
        <v>1</v>
      </c>
      <c r="G95" s="29">
        <v>166541.44</v>
      </c>
      <c r="H95" s="771" t="s">
        <v>985</v>
      </c>
      <c r="I95" s="772"/>
      <c r="J95" s="772"/>
      <c r="K95" s="775"/>
      <c r="L95" s="1">
        <f t="shared" si="11"/>
        <v>3</v>
      </c>
      <c r="M95" s="1" t="str">
        <f t="shared" si="12"/>
        <v>Yes</v>
      </c>
      <c r="N95" s="61" t="str">
        <f t="shared" si="13"/>
        <v>InstructionPriority Interventions</v>
      </c>
      <c r="O95" s="290"/>
    </row>
    <row r="96" spans="1:15" ht="15" customHeight="1" x14ac:dyDescent="0.2">
      <c r="A96" s="890" t="s">
        <v>974</v>
      </c>
      <c r="B96" s="891"/>
      <c r="C96" s="224" t="s">
        <v>1011</v>
      </c>
      <c r="D96" s="224" t="s">
        <v>51</v>
      </c>
      <c r="E96" s="27" t="s">
        <v>583</v>
      </c>
      <c r="F96" s="225">
        <v>0.5</v>
      </c>
      <c r="G96" s="29">
        <v>25685.08</v>
      </c>
      <c r="H96" s="771" t="s">
        <v>987</v>
      </c>
      <c r="I96" s="772"/>
      <c r="J96" s="772"/>
      <c r="K96" s="775"/>
      <c r="L96" s="1">
        <f t="shared" si="11"/>
        <v>3</v>
      </c>
      <c r="M96" s="1" t="str">
        <f t="shared" si="12"/>
        <v>Yes</v>
      </c>
      <c r="N96" s="61" t="str">
        <f t="shared" si="13"/>
        <v>Support ServicesPriority Interventions</v>
      </c>
      <c r="O96" s="290"/>
    </row>
    <row r="97" spans="1:15" ht="15" customHeight="1" x14ac:dyDescent="0.2">
      <c r="A97" s="890" t="s">
        <v>974</v>
      </c>
      <c r="B97" s="891"/>
      <c r="C97" s="224" t="s">
        <v>1015</v>
      </c>
      <c r="D97" s="194" t="s">
        <v>50</v>
      </c>
      <c r="E97" s="27" t="s">
        <v>583</v>
      </c>
      <c r="F97" s="225">
        <v>0.5</v>
      </c>
      <c r="G97" s="226">
        <v>55053</v>
      </c>
      <c r="H97" s="771" t="s">
        <v>985</v>
      </c>
      <c r="I97" s="772"/>
      <c r="J97" s="772"/>
      <c r="K97" s="775"/>
      <c r="L97" s="1">
        <f t="shared" si="11"/>
        <v>3</v>
      </c>
      <c r="M97" s="1" t="str">
        <f t="shared" si="12"/>
        <v>Yes</v>
      </c>
      <c r="N97" s="61" t="str">
        <f t="shared" si="13"/>
        <v>InstructionPriority Interventions</v>
      </c>
      <c r="O97" s="290"/>
    </row>
    <row r="98" spans="1:15" ht="15" customHeight="1" x14ac:dyDescent="0.2">
      <c r="A98" s="890" t="s">
        <v>974</v>
      </c>
      <c r="B98" s="891"/>
      <c r="C98" s="224" t="s">
        <v>1016</v>
      </c>
      <c r="D98" s="224" t="s">
        <v>51</v>
      </c>
      <c r="E98" s="27" t="s">
        <v>583</v>
      </c>
      <c r="F98" s="225">
        <v>0.5</v>
      </c>
      <c r="G98" s="226">
        <v>33577.18</v>
      </c>
      <c r="H98" s="771" t="s">
        <v>987</v>
      </c>
      <c r="I98" s="772"/>
      <c r="J98" s="772"/>
      <c r="K98" s="775"/>
      <c r="L98" s="1">
        <f t="shared" si="11"/>
        <v>3</v>
      </c>
      <c r="M98" s="1" t="str">
        <f t="shared" si="12"/>
        <v>Yes</v>
      </c>
      <c r="N98" s="61" t="str">
        <f t="shared" si="13"/>
        <v>Support ServicesPriority Interventions</v>
      </c>
      <c r="O98" s="290"/>
    </row>
    <row r="99" spans="1:15" ht="15" customHeight="1" x14ac:dyDescent="0.2">
      <c r="A99" s="890" t="s">
        <v>974</v>
      </c>
      <c r="B99" s="891"/>
      <c r="C99" s="224" t="s">
        <v>1017</v>
      </c>
      <c r="D99" s="224" t="s">
        <v>51</v>
      </c>
      <c r="E99" s="27" t="s">
        <v>583</v>
      </c>
      <c r="F99" s="225">
        <v>0.5</v>
      </c>
      <c r="G99" s="226">
        <v>5000</v>
      </c>
      <c r="H99" s="771" t="s">
        <v>987</v>
      </c>
      <c r="I99" s="772"/>
      <c r="J99" s="772"/>
      <c r="K99" s="775"/>
      <c r="L99" s="1">
        <f t="shared" si="11"/>
        <v>3</v>
      </c>
      <c r="M99" s="1" t="str">
        <f t="shared" si="12"/>
        <v>Yes</v>
      </c>
      <c r="N99" s="61" t="str">
        <f t="shared" si="13"/>
        <v>Support ServicesPriority Interventions</v>
      </c>
      <c r="O99" s="290"/>
    </row>
    <row r="100" spans="1:15" ht="15" customHeight="1" x14ac:dyDescent="0.2">
      <c r="A100" s="890" t="s">
        <v>1018</v>
      </c>
      <c r="B100" s="891"/>
      <c r="C100" s="224" t="s">
        <v>1000</v>
      </c>
      <c r="D100" s="224" t="s">
        <v>51</v>
      </c>
      <c r="E100" s="27" t="s">
        <v>584</v>
      </c>
      <c r="F100" s="225">
        <v>0.5</v>
      </c>
      <c r="G100" s="226">
        <v>46507.56</v>
      </c>
      <c r="H100" s="890" t="s">
        <v>1019</v>
      </c>
      <c r="I100" s="772"/>
      <c r="J100" s="772"/>
      <c r="K100" s="775"/>
      <c r="L100" s="1">
        <f t="shared" si="11"/>
        <v>3</v>
      </c>
      <c r="M100" s="1" t="str">
        <f t="shared" si="12"/>
        <v>Yes</v>
      </c>
      <c r="N100" s="61" t="str">
        <f t="shared" si="13"/>
        <v>Support ServicesFocus Interventions</v>
      </c>
      <c r="O100" s="290"/>
    </row>
    <row r="101" spans="1:15" ht="15" customHeight="1" x14ac:dyDescent="0.2">
      <c r="A101" s="890" t="s">
        <v>1020</v>
      </c>
      <c r="B101" s="891"/>
      <c r="C101" s="224" t="s">
        <v>1008</v>
      </c>
      <c r="D101" s="224" t="s">
        <v>51</v>
      </c>
      <c r="E101" s="27" t="s">
        <v>584</v>
      </c>
      <c r="F101" s="225">
        <v>0.5</v>
      </c>
      <c r="G101" s="226">
        <v>39328.720000000001</v>
      </c>
      <c r="H101" s="890" t="s">
        <v>1019</v>
      </c>
      <c r="I101" s="772"/>
      <c r="J101" s="772"/>
      <c r="K101" s="775"/>
      <c r="L101" s="1">
        <f t="shared" si="11"/>
        <v>3</v>
      </c>
      <c r="M101" s="1" t="str">
        <f t="shared" si="12"/>
        <v>Yes</v>
      </c>
      <c r="N101" s="61" t="str">
        <f t="shared" si="13"/>
        <v>Support ServicesFocus Interventions</v>
      </c>
      <c r="O101" s="290"/>
    </row>
    <row r="102" spans="1:15" ht="15" customHeight="1" x14ac:dyDescent="0.2">
      <c r="A102" s="890" t="s">
        <v>966</v>
      </c>
      <c r="B102" s="891"/>
      <c r="C102" s="224" t="s">
        <v>990</v>
      </c>
      <c r="D102" s="194" t="s">
        <v>50</v>
      </c>
      <c r="E102" s="27" t="s">
        <v>584</v>
      </c>
      <c r="F102" s="225">
        <v>0.5</v>
      </c>
      <c r="G102" s="226">
        <v>17467.310000000001</v>
      </c>
      <c r="H102" s="890" t="s">
        <v>1021</v>
      </c>
      <c r="I102" s="772"/>
      <c r="J102" s="772"/>
      <c r="K102" s="775"/>
      <c r="L102" s="1">
        <f t="shared" si="11"/>
        <v>3</v>
      </c>
      <c r="M102" s="1" t="str">
        <f t="shared" si="12"/>
        <v>Yes</v>
      </c>
      <c r="N102" s="61" t="str">
        <f t="shared" si="13"/>
        <v>InstructionFocus Interventions</v>
      </c>
      <c r="O102" s="290"/>
    </row>
    <row r="103" spans="1:15" ht="15" customHeight="1" x14ac:dyDescent="0.2">
      <c r="A103" s="890" t="s">
        <v>966</v>
      </c>
      <c r="B103" s="891"/>
      <c r="C103" s="224" t="s">
        <v>1000</v>
      </c>
      <c r="D103" s="224" t="s">
        <v>51</v>
      </c>
      <c r="E103" s="27" t="s">
        <v>584</v>
      </c>
      <c r="F103" s="225">
        <v>0.5</v>
      </c>
      <c r="G103" s="226">
        <v>46507.56</v>
      </c>
      <c r="H103" s="890" t="s">
        <v>1019</v>
      </c>
      <c r="I103" s="772"/>
      <c r="J103" s="772"/>
      <c r="K103" s="775"/>
      <c r="L103" s="1">
        <f t="shared" si="11"/>
        <v>3</v>
      </c>
      <c r="M103" s="1" t="str">
        <f t="shared" si="12"/>
        <v>Yes</v>
      </c>
      <c r="N103" s="61" t="str">
        <f t="shared" si="13"/>
        <v>Support ServicesFocus Interventions</v>
      </c>
      <c r="O103" s="290"/>
    </row>
    <row r="104" spans="1:15" ht="15" customHeight="1" x14ac:dyDescent="0.2">
      <c r="A104" s="890" t="s">
        <v>968</v>
      </c>
      <c r="B104" s="891"/>
      <c r="C104" s="224" t="s">
        <v>1000</v>
      </c>
      <c r="D104" s="224" t="s">
        <v>51</v>
      </c>
      <c r="E104" s="27" t="s">
        <v>584</v>
      </c>
      <c r="F104" s="225">
        <v>0.5</v>
      </c>
      <c r="G104" s="226">
        <v>50879.28</v>
      </c>
      <c r="H104" s="890" t="s">
        <v>1019</v>
      </c>
      <c r="I104" s="772"/>
      <c r="J104" s="772"/>
      <c r="K104" s="775"/>
      <c r="L104" s="1">
        <f t="shared" si="11"/>
        <v>3</v>
      </c>
      <c r="M104" s="1" t="str">
        <f t="shared" si="12"/>
        <v>Yes</v>
      </c>
      <c r="N104" s="61" t="str">
        <f t="shared" si="13"/>
        <v>Support ServicesFocus Interventions</v>
      </c>
      <c r="O104" s="290"/>
    </row>
    <row r="105" spans="1:15" ht="15" customHeight="1" x14ac:dyDescent="0.2">
      <c r="A105" s="890" t="s">
        <v>1022</v>
      </c>
      <c r="B105" s="891"/>
      <c r="C105" s="224" t="s">
        <v>1023</v>
      </c>
      <c r="D105" s="194" t="s">
        <v>50</v>
      </c>
      <c r="E105" s="27" t="s">
        <v>584</v>
      </c>
      <c r="F105" s="225">
        <v>0.5</v>
      </c>
      <c r="G105" s="226">
        <v>41450.6</v>
      </c>
      <c r="H105" s="890" t="s">
        <v>1021</v>
      </c>
      <c r="I105" s="772"/>
      <c r="J105" s="772"/>
      <c r="K105" s="775"/>
      <c r="L105" s="1">
        <f t="shared" si="11"/>
        <v>3</v>
      </c>
      <c r="M105" s="1" t="str">
        <f t="shared" si="12"/>
        <v>Yes</v>
      </c>
      <c r="N105" s="61" t="str">
        <f t="shared" si="13"/>
        <v>InstructionFocus Interventions</v>
      </c>
      <c r="O105" s="290"/>
    </row>
    <row r="106" spans="1:15" ht="15" customHeight="1" x14ac:dyDescent="0.2">
      <c r="A106" s="890" t="s">
        <v>982</v>
      </c>
      <c r="B106" s="891"/>
      <c r="C106" s="224" t="s">
        <v>990</v>
      </c>
      <c r="D106" s="194" t="s">
        <v>50</v>
      </c>
      <c r="E106" s="27" t="s">
        <v>584</v>
      </c>
      <c r="F106" s="225">
        <v>12</v>
      </c>
      <c r="G106" s="226">
        <v>40500</v>
      </c>
      <c r="H106" s="890" t="s">
        <v>1021</v>
      </c>
      <c r="I106" s="772"/>
      <c r="J106" s="772"/>
      <c r="K106" s="775"/>
      <c r="L106" s="1">
        <f t="shared" si="11"/>
        <v>3</v>
      </c>
      <c r="M106" s="1" t="str">
        <f t="shared" si="12"/>
        <v>Yes</v>
      </c>
      <c r="N106" s="61" t="str">
        <f t="shared" si="13"/>
        <v>InstructionFocus Interventions</v>
      </c>
      <c r="O106" s="290"/>
    </row>
    <row r="107" spans="1:15" ht="15" customHeight="1" x14ac:dyDescent="0.2">
      <c r="A107" s="890" t="s">
        <v>982</v>
      </c>
      <c r="B107" s="891"/>
      <c r="C107" s="224" t="s">
        <v>1015</v>
      </c>
      <c r="D107" s="194" t="s">
        <v>50</v>
      </c>
      <c r="E107" s="27" t="s">
        <v>584</v>
      </c>
      <c r="F107" s="225">
        <v>1</v>
      </c>
      <c r="G107" s="226">
        <v>82901.2</v>
      </c>
      <c r="H107" s="890" t="s">
        <v>1021</v>
      </c>
      <c r="I107" s="772"/>
      <c r="J107" s="772"/>
      <c r="K107" s="775"/>
      <c r="L107" s="1">
        <f t="shared" si="11"/>
        <v>3</v>
      </c>
      <c r="M107" s="1" t="str">
        <f t="shared" si="12"/>
        <v>Yes</v>
      </c>
      <c r="N107" s="61" t="str">
        <f t="shared" si="13"/>
        <v>InstructionFocus Interventions</v>
      </c>
      <c r="O107" s="290"/>
    </row>
    <row r="108" spans="1:15" ht="15" customHeight="1" x14ac:dyDescent="0.2">
      <c r="A108" s="890" t="s">
        <v>982</v>
      </c>
      <c r="B108" s="891"/>
      <c r="C108" s="224" t="s">
        <v>991</v>
      </c>
      <c r="D108" s="194" t="s">
        <v>50</v>
      </c>
      <c r="E108" s="27" t="s">
        <v>584</v>
      </c>
      <c r="F108" s="225">
        <v>4</v>
      </c>
      <c r="G108" s="226">
        <v>53345.3</v>
      </c>
      <c r="H108" s="890" t="s">
        <v>1021</v>
      </c>
      <c r="I108" s="772"/>
      <c r="J108" s="772"/>
      <c r="K108" s="775"/>
      <c r="L108" s="1">
        <f t="shared" si="11"/>
        <v>3</v>
      </c>
      <c r="M108" s="1" t="str">
        <f t="shared" si="12"/>
        <v>Yes</v>
      </c>
      <c r="N108" s="61" t="str">
        <f t="shared" si="13"/>
        <v>InstructionFocus Interventions</v>
      </c>
      <c r="O108" s="290"/>
    </row>
    <row r="109" spans="1:15" s="198" customFormat="1" ht="15" customHeight="1" x14ac:dyDescent="0.2">
      <c r="A109" s="934" t="s">
        <v>982</v>
      </c>
      <c r="B109" s="935"/>
      <c r="C109" s="242" t="s">
        <v>1024</v>
      </c>
      <c r="D109" s="242" t="s">
        <v>94</v>
      </c>
      <c r="E109" s="196" t="s">
        <v>584</v>
      </c>
      <c r="F109" s="243">
        <v>1</v>
      </c>
      <c r="G109" s="244">
        <v>6712.5</v>
      </c>
      <c r="H109" s="936" t="s">
        <v>1025</v>
      </c>
      <c r="I109" s="937"/>
      <c r="J109" s="937"/>
      <c r="K109" s="938"/>
      <c r="L109" s="198">
        <f t="shared" si="11"/>
        <v>3</v>
      </c>
      <c r="M109" s="198" t="str">
        <f t="shared" si="12"/>
        <v>Yes</v>
      </c>
      <c r="N109" s="198" t="str">
        <f>CONCATENATE(D109,E109)</f>
        <v>AdministrationFocus Interventions</v>
      </c>
      <c r="O109" s="290"/>
    </row>
    <row r="110" spans="1:15" s="61" customFormat="1" ht="15" customHeight="1" x14ac:dyDescent="0.2">
      <c r="A110" s="907" t="s">
        <v>1032</v>
      </c>
      <c r="B110" s="908"/>
      <c r="C110" s="239" t="s">
        <v>956</v>
      </c>
      <c r="D110" s="239" t="s">
        <v>51</v>
      </c>
      <c r="E110" s="194" t="s">
        <v>584</v>
      </c>
      <c r="F110" s="249">
        <v>1</v>
      </c>
      <c r="G110" s="241">
        <v>36005.15</v>
      </c>
      <c r="H110" s="907" t="s">
        <v>1030</v>
      </c>
      <c r="I110" s="909"/>
      <c r="J110" s="909"/>
      <c r="K110" s="288"/>
      <c r="L110" s="61">
        <f t="shared" si="11"/>
        <v>3</v>
      </c>
      <c r="M110" s="61" t="str">
        <f t="shared" si="12"/>
        <v>Yes</v>
      </c>
      <c r="N110" s="61" t="str">
        <f t="shared" si="13"/>
        <v>Support ServicesFocus Interventions</v>
      </c>
      <c r="O110" s="290"/>
    </row>
    <row r="111" spans="1:15" s="61" customFormat="1" ht="15" customHeight="1" x14ac:dyDescent="0.2">
      <c r="A111" s="907" t="s">
        <v>1033</v>
      </c>
      <c r="B111" s="908"/>
      <c r="C111" s="239" t="s">
        <v>956</v>
      </c>
      <c r="D111" s="239" t="s">
        <v>51</v>
      </c>
      <c r="E111" s="194" t="s">
        <v>583</v>
      </c>
      <c r="F111" s="249">
        <v>1</v>
      </c>
      <c r="G111" s="241">
        <v>37470.699999999997</v>
      </c>
      <c r="H111" s="907" t="s">
        <v>1031</v>
      </c>
      <c r="I111" s="909"/>
      <c r="J111" s="909"/>
      <c r="K111" s="288"/>
      <c r="L111" s="61">
        <f t="shared" si="11"/>
        <v>3</v>
      </c>
      <c r="M111" s="61" t="str">
        <f t="shared" si="12"/>
        <v>Yes</v>
      </c>
      <c r="N111" s="61" t="str">
        <f t="shared" si="13"/>
        <v>Support ServicesPriority Interventions</v>
      </c>
      <c r="O111" s="290"/>
    </row>
    <row r="112" spans="1:15" ht="15" customHeight="1" x14ac:dyDescent="0.2">
      <c r="A112" s="890" t="s">
        <v>955</v>
      </c>
      <c r="B112" s="891"/>
      <c r="C112" s="224" t="s">
        <v>956</v>
      </c>
      <c r="D112" s="194" t="s">
        <v>51</v>
      </c>
      <c r="E112" s="27" t="s">
        <v>583</v>
      </c>
      <c r="F112" s="225">
        <v>1</v>
      </c>
      <c r="G112" s="29">
        <v>13000</v>
      </c>
      <c r="H112" s="890" t="s">
        <v>969</v>
      </c>
      <c r="I112" s="910"/>
      <c r="J112" s="910"/>
      <c r="K112" s="891"/>
      <c r="L112" s="1">
        <f t="shared" si="11"/>
        <v>3</v>
      </c>
      <c r="M112" s="1" t="str">
        <f t="shared" si="12"/>
        <v>Yes</v>
      </c>
      <c r="N112" s="61" t="str">
        <f t="shared" si="13"/>
        <v>Support ServicesPriority Interventions</v>
      </c>
      <c r="O112" s="290"/>
    </row>
    <row r="113" spans="1:45" ht="15" customHeight="1" x14ac:dyDescent="0.2">
      <c r="A113" s="890" t="s">
        <v>957</v>
      </c>
      <c r="B113" s="891"/>
      <c r="C113" s="224" t="s">
        <v>956</v>
      </c>
      <c r="D113" s="194" t="s">
        <v>50</v>
      </c>
      <c r="E113" s="27" t="s">
        <v>583</v>
      </c>
      <c r="F113" s="225">
        <v>1</v>
      </c>
      <c r="G113" s="29">
        <v>13600</v>
      </c>
      <c r="H113" s="890" t="s">
        <v>958</v>
      </c>
      <c r="I113" s="910"/>
      <c r="J113" s="910"/>
      <c r="K113" s="891"/>
      <c r="L113" s="1">
        <f t="shared" si="11"/>
        <v>3</v>
      </c>
      <c r="M113" s="1" t="str">
        <f t="shared" si="12"/>
        <v>Yes</v>
      </c>
      <c r="N113" s="61" t="str">
        <f t="shared" si="13"/>
        <v>InstructionPriority Interventions</v>
      </c>
      <c r="O113" s="290"/>
      <c r="R113" s="218"/>
    </row>
    <row r="114" spans="1:45" ht="15" customHeight="1" x14ac:dyDescent="0.2">
      <c r="A114" s="890" t="s">
        <v>959</v>
      </c>
      <c r="B114" s="891"/>
      <c r="C114" s="224" t="s">
        <v>956</v>
      </c>
      <c r="D114" s="194" t="s">
        <v>51</v>
      </c>
      <c r="E114" s="27" t="s">
        <v>583</v>
      </c>
      <c r="F114" s="225">
        <v>1</v>
      </c>
      <c r="G114" s="195">
        <v>2856</v>
      </c>
      <c r="H114" s="890" t="s">
        <v>960</v>
      </c>
      <c r="I114" s="910"/>
      <c r="J114" s="910"/>
      <c r="K114" s="891"/>
      <c r="L114" s="1">
        <f t="shared" si="11"/>
        <v>3</v>
      </c>
      <c r="M114" s="1" t="str">
        <f t="shared" si="12"/>
        <v>Yes</v>
      </c>
      <c r="N114" s="61" t="str">
        <f t="shared" si="13"/>
        <v>Support ServicesPriority Interventions</v>
      </c>
      <c r="O114" s="290"/>
    </row>
    <row r="115" spans="1:45" ht="15" customHeight="1" x14ac:dyDescent="0.2">
      <c r="A115" s="890" t="s">
        <v>961</v>
      </c>
      <c r="B115" s="891"/>
      <c r="C115" s="224" t="s">
        <v>956</v>
      </c>
      <c r="D115" s="194" t="s">
        <v>50</v>
      </c>
      <c r="E115" s="27" t="s">
        <v>583</v>
      </c>
      <c r="F115" s="225">
        <v>1</v>
      </c>
      <c r="G115" s="195">
        <v>3191</v>
      </c>
      <c r="H115" s="771" t="s">
        <v>962</v>
      </c>
      <c r="I115" s="772"/>
      <c r="J115" s="772"/>
      <c r="K115" s="775"/>
      <c r="L115" s="1">
        <f t="shared" si="11"/>
        <v>3</v>
      </c>
      <c r="M115" s="1" t="str">
        <f t="shared" si="12"/>
        <v>Yes</v>
      </c>
      <c r="N115" s="61" t="str">
        <f t="shared" si="13"/>
        <v>InstructionPriority Interventions</v>
      </c>
      <c r="O115" s="290"/>
    </row>
    <row r="116" spans="1:45" s="61" customFormat="1" ht="15" customHeight="1" x14ac:dyDescent="0.2">
      <c r="A116" s="892" t="s">
        <v>963</v>
      </c>
      <c r="B116" s="893"/>
      <c r="C116" s="239" t="s">
        <v>956</v>
      </c>
      <c r="D116" s="194" t="s">
        <v>50</v>
      </c>
      <c r="E116" s="194" t="s">
        <v>583</v>
      </c>
      <c r="F116" s="225">
        <v>1</v>
      </c>
      <c r="G116" s="195">
        <v>16603.830000000002</v>
      </c>
      <c r="H116" s="884" t="s">
        <v>962</v>
      </c>
      <c r="I116" s="885"/>
      <c r="J116" s="885"/>
      <c r="K116" s="886"/>
      <c r="L116" s="61">
        <f t="shared" si="11"/>
        <v>3</v>
      </c>
      <c r="M116" s="61" t="str">
        <f t="shared" si="12"/>
        <v>Yes</v>
      </c>
      <c r="N116" s="61" t="str">
        <f t="shared" si="13"/>
        <v>InstructionPriority Interventions</v>
      </c>
      <c r="O116" s="290"/>
    </row>
    <row r="117" spans="1:45" s="61" customFormat="1" ht="15" customHeight="1" x14ac:dyDescent="0.2">
      <c r="A117" s="892" t="s">
        <v>964</v>
      </c>
      <c r="B117" s="893"/>
      <c r="C117" s="239" t="s">
        <v>965</v>
      </c>
      <c r="D117" s="194" t="s">
        <v>50</v>
      </c>
      <c r="E117" s="194" t="s">
        <v>583</v>
      </c>
      <c r="F117" s="225">
        <v>1</v>
      </c>
      <c r="G117" s="195">
        <v>2000</v>
      </c>
      <c r="H117" s="892" t="s">
        <v>962</v>
      </c>
      <c r="I117" s="894"/>
      <c r="J117" s="894"/>
      <c r="K117" s="893"/>
      <c r="L117" s="61">
        <f t="shared" si="11"/>
        <v>3</v>
      </c>
      <c r="M117" s="61" t="str">
        <f t="shared" si="12"/>
        <v>Yes</v>
      </c>
      <c r="N117" s="61" t="str">
        <f t="shared" si="13"/>
        <v>InstructionPriority Interventions</v>
      </c>
      <c r="O117" s="290"/>
    </row>
    <row r="118" spans="1:45" s="61" customFormat="1" ht="15" customHeight="1" x14ac:dyDescent="0.2">
      <c r="A118" s="892" t="s">
        <v>975</v>
      </c>
      <c r="B118" s="893"/>
      <c r="C118" s="240" t="s">
        <v>965</v>
      </c>
      <c r="D118" s="194" t="s">
        <v>50</v>
      </c>
      <c r="E118" s="194" t="s">
        <v>583</v>
      </c>
      <c r="F118" s="225">
        <v>1</v>
      </c>
      <c r="G118" s="195">
        <v>117587.1</v>
      </c>
      <c r="H118" s="884" t="s">
        <v>962</v>
      </c>
      <c r="I118" s="885"/>
      <c r="J118" s="885"/>
      <c r="K118" s="886"/>
      <c r="L118" s="61">
        <f t="shared" si="11"/>
        <v>3</v>
      </c>
      <c r="M118" s="61" t="str">
        <f t="shared" si="12"/>
        <v>Yes</v>
      </c>
      <c r="N118" s="61" t="str">
        <f t="shared" si="13"/>
        <v>InstructionPriority Interventions</v>
      </c>
      <c r="O118" s="290"/>
    </row>
    <row r="119" spans="1:45" s="61" customFormat="1" ht="15" customHeight="1" x14ac:dyDescent="0.2">
      <c r="A119" s="892" t="s">
        <v>974</v>
      </c>
      <c r="B119" s="893"/>
      <c r="C119" s="240" t="s">
        <v>965</v>
      </c>
      <c r="D119" s="194" t="s">
        <v>50</v>
      </c>
      <c r="E119" s="194" t="s">
        <v>583</v>
      </c>
      <c r="F119" s="225">
        <v>1</v>
      </c>
      <c r="G119" s="195">
        <v>25000</v>
      </c>
      <c r="H119" s="884" t="s">
        <v>981</v>
      </c>
      <c r="I119" s="885"/>
      <c r="J119" s="885"/>
      <c r="K119" s="886"/>
      <c r="L119" s="61">
        <f t="shared" si="11"/>
        <v>3</v>
      </c>
      <c r="M119" s="61" t="str">
        <f t="shared" si="12"/>
        <v>Yes</v>
      </c>
      <c r="N119" s="61" t="str">
        <f t="shared" si="13"/>
        <v>InstructionPriority Interventions</v>
      </c>
      <c r="O119" s="290"/>
    </row>
    <row r="120" spans="1:45" s="61" customFormat="1" ht="15" customHeight="1" x14ac:dyDescent="0.2">
      <c r="A120" s="892" t="s">
        <v>972</v>
      </c>
      <c r="B120" s="893"/>
      <c r="C120" s="240" t="s">
        <v>965</v>
      </c>
      <c r="D120" s="194" t="s">
        <v>51</v>
      </c>
      <c r="E120" s="194" t="s">
        <v>583</v>
      </c>
      <c r="F120" s="225">
        <v>1</v>
      </c>
      <c r="G120" s="195">
        <v>8160</v>
      </c>
      <c r="H120" s="884" t="s">
        <v>973</v>
      </c>
      <c r="I120" s="885"/>
      <c r="J120" s="885"/>
      <c r="K120" s="886"/>
      <c r="L120" s="61">
        <f t="shared" si="11"/>
        <v>3</v>
      </c>
      <c r="M120" s="61" t="str">
        <f t="shared" si="12"/>
        <v>Yes</v>
      </c>
      <c r="N120" s="61" t="str">
        <f t="shared" si="13"/>
        <v>Support ServicesPriority Interventions</v>
      </c>
      <c r="O120" s="290"/>
    </row>
    <row r="121" spans="1:45" s="61" customFormat="1" ht="15" customHeight="1" x14ac:dyDescent="0.2">
      <c r="A121" s="892" t="s">
        <v>970</v>
      </c>
      <c r="B121" s="893"/>
      <c r="C121" s="240" t="s">
        <v>965</v>
      </c>
      <c r="D121" s="194" t="s">
        <v>51</v>
      </c>
      <c r="E121" s="194" t="s">
        <v>583</v>
      </c>
      <c r="F121" s="225">
        <v>1</v>
      </c>
      <c r="G121" s="195">
        <v>17500</v>
      </c>
      <c r="H121" s="892" t="s">
        <v>971</v>
      </c>
      <c r="I121" s="894"/>
      <c r="J121" s="894"/>
      <c r="K121" s="893"/>
      <c r="L121" s="61">
        <f t="shared" si="11"/>
        <v>3</v>
      </c>
      <c r="M121" s="61" t="str">
        <f t="shared" si="12"/>
        <v>Yes</v>
      </c>
      <c r="N121" s="61" t="str">
        <f t="shared" si="13"/>
        <v>Support ServicesPriority Interventions</v>
      </c>
      <c r="O121" s="290"/>
    </row>
    <row r="122" spans="1:45" s="61" customFormat="1" ht="15" customHeight="1" x14ac:dyDescent="0.2">
      <c r="A122" s="892" t="s">
        <v>966</v>
      </c>
      <c r="B122" s="893"/>
      <c r="C122" s="239" t="s">
        <v>965</v>
      </c>
      <c r="D122" s="194" t="s">
        <v>50</v>
      </c>
      <c r="E122" s="194" t="s">
        <v>584</v>
      </c>
      <c r="F122" s="225">
        <v>1</v>
      </c>
      <c r="G122" s="241">
        <v>73906.23</v>
      </c>
      <c r="H122" s="892" t="s">
        <v>967</v>
      </c>
      <c r="I122" s="894"/>
      <c r="J122" s="894"/>
      <c r="K122" s="893"/>
      <c r="L122" s="61">
        <f t="shared" si="11"/>
        <v>3</v>
      </c>
      <c r="M122" s="61" t="str">
        <f t="shared" si="12"/>
        <v>Yes</v>
      </c>
      <c r="N122" s="61" t="str">
        <f t="shared" si="13"/>
        <v>InstructionFocus Interventions</v>
      </c>
      <c r="O122" s="290"/>
    </row>
    <row r="123" spans="1:45" s="61" customFormat="1" ht="15" customHeight="1" x14ac:dyDescent="0.2">
      <c r="A123" s="892" t="s">
        <v>968</v>
      </c>
      <c r="B123" s="893"/>
      <c r="C123" s="239" t="s">
        <v>965</v>
      </c>
      <c r="D123" s="194" t="s">
        <v>50</v>
      </c>
      <c r="E123" s="194" t="s">
        <v>584</v>
      </c>
      <c r="F123" s="225">
        <v>1</v>
      </c>
      <c r="G123" s="241">
        <v>24208.1</v>
      </c>
      <c r="H123" s="884" t="s">
        <v>967</v>
      </c>
      <c r="I123" s="885"/>
      <c r="J123" s="885"/>
      <c r="K123" s="886"/>
      <c r="L123" s="61">
        <f t="shared" si="11"/>
        <v>3</v>
      </c>
      <c r="M123" s="61" t="str">
        <f t="shared" si="12"/>
        <v>Yes</v>
      </c>
      <c r="N123" s="61" t="str">
        <f t="shared" si="13"/>
        <v>InstructionFocus Interventions</v>
      </c>
      <c r="O123" s="290"/>
    </row>
    <row r="124" spans="1:45" s="61" customFormat="1" ht="15" customHeight="1" x14ac:dyDescent="0.2">
      <c r="A124" s="884" t="s">
        <v>982</v>
      </c>
      <c r="B124" s="886"/>
      <c r="C124" s="239" t="s">
        <v>965</v>
      </c>
      <c r="D124" s="194" t="s">
        <v>50</v>
      </c>
      <c r="E124" s="194" t="s">
        <v>584</v>
      </c>
      <c r="F124" s="225">
        <v>1</v>
      </c>
      <c r="G124" s="241">
        <v>18300</v>
      </c>
      <c r="H124" s="884" t="s">
        <v>962</v>
      </c>
      <c r="I124" s="885"/>
      <c r="J124" s="885"/>
      <c r="K124" s="886"/>
      <c r="L124" s="61">
        <f t="shared" si="11"/>
        <v>3</v>
      </c>
      <c r="M124" s="61" t="str">
        <f t="shared" si="12"/>
        <v>Yes</v>
      </c>
      <c r="N124" s="61" t="str">
        <f t="shared" ref="N124" si="14">CONCATENATE(D124,E124)</f>
        <v>InstructionFocus Interventions</v>
      </c>
      <c r="O124" s="222">
        <v>27005610.280000001</v>
      </c>
      <c r="P124" s="222">
        <v>14630402.9</v>
      </c>
    </row>
    <row r="125" spans="1:45" ht="15" customHeight="1" x14ac:dyDescent="0.2">
      <c r="A125" s="904" t="s">
        <v>92</v>
      </c>
      <c r="B125" s="905"/>
      <c r="C125" s="905"/>
      <c r="D125" s="906"/>
      <c r="E125" s="223"/>
      <c r="F125" s="32">
        <f>SUM(F15:F124)</f>
        <v>100</v>
      </c>
      <c r="G125" s="898" t="s">
        <v>93</v>
      </c>
      <c r="H125" s="786"/>
      <c r="I125" s="786"/>
      <c r="J125" s="787"/>
      <c r="K125" s="232">
        <f>SUM(G15:G124)</f>
        <v>5568768.5700000003</v>
      </c>
      <c r="M125" s="1">
        <f>COUNTIF(M96:M124,"Yes")</f>
        <v>29</v>
      </c>
      <c r="O125" s="218">
        <f>O124-P124</f>
        <v>12375207.380000001</v>
      </c>
    </row>
    <row r="126" spans="1:45" ht="14.25" customHeight="1" x14ac:dyDescent="0.2">
      <c r="A126" s="895"/>
      <c r="B126" s="811"/>
      <c r="C126" s="811"/>
      <c r="D126" s="811"/>
      <c r="E126" s="811"/>
      <c r="F126" s="811"/>
      <c r="G126" s="811"/>
      <c r="H126" s="811"/>
      <c r="I126" s="811"/>
      <c r="J126" s="811"/>
      <c r="K126" s="896"/>
      <c r="O126" s="218">
        <f>K125+G155+G190+G230+G266+G301</f>
        <v>12430951.279999999</v>
      </c>
    </row>
    <row r="127" spans="1:45" s="221" customFormat="1" ht="15" customHeight="1" x14ac:dyDescent="0.2">
      <c r="A127" s="899" t="s">
        <v>44</v>
      </c>
      <c r="B127" s="783"/>
      <c r="C127" s="783"/>
      <c r="D127" s="783"/>
      <c r="E127" s="783"/>
      <c r="F127" s="783"/>
      <c r="G127" s="783"/>
      <c r="H127" s="783"/>
      <c r="I127" s="783"/>
      <c r="J127" s="783"/>
      <c r="K127" s="900"/>
      <c r="L127" s="61"/>
      <c r="M127" s="61"/>
      <c r="N127" s="61"/>
      <c r="O127" s="248">
        <f>O125-O126</f>
        <v>-55743.89999999851</v>
      </c>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row>
    <row r="128" spans="1:45" s="221" customFormat="1" ht="15" customHeight="1" x14ac:dyDescent="0.2">
      <c r="A128" s="899" t="s">
        <v>478</v>
      </c>
      <c r="B128" s="783"/>
      <c r="C128" s="783"/>
      <c r="D128" s="783"/>
      <c r="E128" s="783"/>
      <c r="F128" s="783"/>
      <c r="G128" s="783"/>
      <c r="H128" s="783"/>
      <c r="I128" s="783"/>
      <c r="J128" s="783"/>
      <c r="K128" s="900"/>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row>
    <row r="129" spans="1:15" ht="15" customHeight="1" x14ac:dyDescent="0.2">
      <c r="A129" s="804" t="s">
        <v>49</v>
      </c>
      <c r="B129" s="792"/>
      <c r="C129" s="792"/>
      <c r="D129" s="793"/>
      <c r="E129" s="800" t="s">
        <v>43</v>
      </c>
      <c r="F129" s="800" t="s">
        <v>118</v>
      </c>
      <c r="G129" s="800" t="s">
        <v>104</v>
      </c>
      <c r="H129" s="804" t="s">
        <v>53</v>
      </c>
      <c r="I129" s="792"/>
      <c r="J129" s="792"/>
      <c r="K129" s="793"/>
    </row>
    <row r="130" spans="1:15" ht="15" customHeight="1" x14ac:dyDescent="0.2">
      <c r="A130" s="806"/>
      <c r="B130" s="795"/>
      <c r="C130" s="795"/>
      <c r="D130" s="796"/>
      <c r="E130" s="801"/>
      <c r="F130" s="801"/>
      <c r="G130" s="801"/>
      <c r="H130" s="806"/>
      <c r="I130" s="795"/>
      <c r="J130" s="795"/>
      <c r="K130" s="796"/>
    </row>
    <row r="131" spans="1:15" ht="15" customHeight="1" x14ac:dyDescent="0.2">
      <c r="A131" s="806"/>
      <c r="B131" s="795"/>
      <c r="C131" s="795"/>
      <c r="D131" s="796"/>
      <c r="E131" s="801"/>
      <c r="F131" s="801"/>
      <c r="G131" s="801"/>
      <c r="H131" s="806"/>
      <c r="I131" s="795"/>
      <c r="J131" s="795"/>
      <c r="K131" s="796"/>
    </row>
    <row r="132" spans="1:15" ht="15" customHeight="1" x14ac:dyDescent="0.2">
      <c r="A132" s="806"/>
      <c r="B132" s="795"/>
      <c r="C132" s="795"/>
      <c r="D132" s="796"/>
      <c r="E132" s="801"/>
      <c r="F132" s="801"/>
      <c r="G132" s="801"/>
      <c r="H132" s="806"/>
      <c r="I132" s="795"/>
      <c r="J132" s="795"/>
      <c r="K132" s="796"/>
      <c r="O132" s="218"/>
    </row>
    <row r="133" spans="1:15" ht="15" customHeight="1" x14ac:dyDescent="0.2">
      <c r="A133" s="806"/>
      <c r="B133" s="795"/>
      <c r="C133" s="795"/>
      <c r="D133" s="796"/>
      <c r="E133" s="801"/>
      <c r="F133" s="801"/>
      <c r="G133" s="801"/>
      <c r="H133" s="806"/>
      <c r="I133" s="795"/>
      <c r="J133" s="795"/>
      <c r="K133" s="796"/>
      <c r="O133" s="218"/>
    </row>
    <row r="134" spans="1:15" ht="15" customHeight="1" x14ac:dyDescent="0.2">
      <c r="A134" s="808"/>
      <c r="B134" s="798"/>
      <c r="C134" s="798"/>
      <c r="D134" s="799"/>
      <c r="E134" s="802"/>
      <c r="F134" s="802"/>
      <c r="G134" s="802"/>
      <c r="H134" s="808"/>
      <c r="I134" s="798"/>
      <c r="J134" s="798"/>
      <c r="K134" s="799"/>
      <c r="O134" s="218"/>
    </row>
    <row r="135" spans="1:15" s="61" customFormat="1" ht="15" customHeight="1" x14ac:dyDescent="0.2">
      <c r="A135" s="884" t="s">
        <v>980</v>
      </c>
      <c r="B135" s="885"/>
      <c r="C135" s="885"/>
      <c r="D135" s="886"/>
      <c r="E135" s="194" t="s">
        <v>50</v>
      </c>
      <c r="F135" s="231" t="s">
        <v>584</v>
      </c>
      <c r="G135" s="195">
        <v>156379.14000000001</v>
      </c>
      <c r="H135" s="884" t="s">
        <v>1029</v>
      </c>
      <c r="I135" s="894"/>
      <c r="J135" s="894"/>
      <c r="K135" s="893"/>
      <c r="L135" s="61">
        <f t="shared" ref="L135" si="15">COUNTBLANK(E135:K135)</f>
        <v>3</v>
      </c>
      <c r="M135" s="61" t="str">
        <f t="shared" ref="M135" si="16">IF(AND(A135&lt;&gt;"",L135&gt;3),"No","Yes")</f>
        <v>Yes</v>
      </c>
      <c r="N135" s="61" t="str">
        <f t="shared" ref="N135" si="17">CONCATENATE(E135,F135)</f>
        <v>InstructionFocus Interventions</v>
      </c>
    </row>
    <row r="136" spans="1:15" s="61" customFormat="1" ht="15" customHeight="1" x14ac:dyDescent="0.2">
      <c r="A136" s="884" t="s">
        <v>978</v>
      </c>
      <c r="B136" s="894"/>
      <c r="C136" s="894"/>
      <c r="D136" s="893"/>
      <c r="E136" s="194" t="s">
        <v>50</v>
      </c>
      <c r="F136" s="231" t="s">
        <v>583</v>
      </c>
      <c r="G136" s="195">
        <v>342584.62</v>
      </c>
      <c r="H136" s="884" t="s">
        <v>1028</v>
      </c>
      <c r="I136" s="894"/>
      <c r="J136" s="894"/>
      <c r="K136" s="893"/>
      <c r="L136" s="61">
        <f t="shared" ref="L136:L154" si="18">COUNTBLANK(E136:K136)</f>
        <v>3</v>
      </c>
      <c r="M136" s="61" t="str">
        <f t="shared" ref="M136:M154" si="19">IF(AND(A136&lt;&gt;"",L136&gt;3),"No","Yes")</f>
        <v>Yes</v>
      </c>
      <c r="N136" s="61" t="str">
        <f t="shared" ref="N136:N154" si="20">CONCATENATE(E136,F136)</f>
        <v>InstructionPriority Interventions</v>
      </c>
    </row>
    <row r="137" spans="1:15" s="61" customFormat="1" ht="15" customHeight="1" x14ac:dyDescent="0.2">
      <c r="A137" s="884" t="s">
        <v>908</v>
      </c>
      <c r="B137" s="885"/>
      <c r="C137" s="885"/>
      <c r="D137" s="886"/>
      <c r="E137" s="194" t="s">
        <v>50</v>
      </c>
      <c r="F137" s="231" t="s">
        <v>110</v>
      </c>
      <c r="G137" s="195">
        <v>1000</v>
      </c>
      <c r="H137" s="884" t="s">
        <v>909</v>
      </c>
      <c r="I137" s="885"/>
      <c r="J137" s="885"/>
      <c r="K137" s="886"/>
      <c r="L137" s="61">
        <f t="shared" si="18"/>
        <v>3</v>
      </c>
      <c r="M137" s="61" t="str">
        <f t="shared" si="19"/>
        <v>Yes</v>
      </c>
      <c r="N137" s="61" t="str">
        <f t="shared" si="20"/>
        <v>InstructionNeg. &amp; Delinquent</v>
      </c>
    </row>
    <row r="138" spans="1:15" s="221" customFormat="1" ht="15" customHeight="1" x14ac:dyDescent="0.2">
      <c r="A138" s="887" t="s">
        <v>910</v>
      </c>
      <c r="B138" s="888"/>
      <c r="C138" s="888"/>
      <c r="D138" s="889"/>
      <c r="E138" s="291" t="s">
        <v>50</v>
      </c>
      <c r="F138" s="321" t="s">
        <v>110</v>
      </c>
      <c r="G138" s="322">
        <v>4690.9399999999996</v>
      </c>
      <c r="H138" s="887" t="s">
        <v>911</v>
      </c>
      <c r="I138" s="888"/>
      <c r="J138" s="888"/>
      <c r="K138" s="889"/>
      <c r="L138" s="221">
        <f>COUNTBLANK(E138:K138)</f>
        <v>3</v>
      </c>
      <c r="M138" s="221" t="str">
        <f t="shared" si="19"/>
        <v>Yes</v>
      </c>
      <c r="N138" s="221" t="str">
        <f t="shared" si="20"/>
        <v>InstructionNeg. &amp; Delinquent</v>
      </c>
    </row>
    <row r="139" spans="1:15" s="221" customFormat="1" ht="15" customHeight="1" x14ac:dyDescent="0.2">
      <c r="A139" s="887" t="s">
        <v>910</v>
      </c>
      <c r="B139" s="888"/>
      <c r="C139" s="888"/>
      <c r="D139" s="889"/>
      <c r="E139" s="291" t="s">
        <v>50</v>
      </c>
      <c r="F139" s="321" t="s">
        <v>110</v>
      </c>
      <c r="G139" s="322">
        <v>12848.39</v>
      </c>
      <c r="H139" s="315" t="s">
        <v>1145</v>
      </c>
      <c r="I139" s="316"/>
      <c r="J139" s="316"/>
      <c r="K139" s="317"/>
      <c r="L139" s="221">
        <f>COUNTBLANK(E139:K139)</f>
        <v>3</v>
      </c>
      <c r="M139" s="221" t="str">
        <f t="shared" ref="M139" si="21">IF(AND(A139&lt;&gt;"",L139&gt;3),"No","Yes")</f>
        <v>Yes</v>
      </c>
      <c r="N139" s="221" t="str">
        <f t="shared" ref="N139" si="22">CONCATENATE(E139,F139)</f>
        <v>InstructionNeg. &amp; Delinquent</v>
      </c>
    </row>
    <row r="140" spans="1:15" s="61" customFormat="1" ht="15" customHeight="1" x14ac:dyDescent="0.2">
      <c r="A140" s="884" t="s">
        <v>908</v>
      </c>
      <c r="B140" s="885"/>
      <c r="C140" s="885"/>
      <c r="D140" s="886"/>
      <c r="E140" s="194" t="s">
        <v>50</v>
      </c>
      <c r="F140" s="231" t="s">
        <v>110</v>
      </c>
      <c r="G140" s="309">
        <v>16192</v>
      </c>
      <c r="H140" s="296" t="s">
        <v>1056</v>
      </c>
      <c r="I140" s="297"/>
      <c r="J140" s="297"/>
      <c r="K140" s="298"/>
      <c r="L140" s="61">
        <f t="shared" si="18"/>
        <v>3</v>
      </c>
      <c r="M140" s="61" t="str">
        <f t="shared" si="19"/>
        <v>Yes</v>
      </c>
      <c r="N140" s="61" t="str">
        <f t="shared" si="20"/>
        <v>InstructionNeg. &amp; Delinquent</v>
      </c>
    </row>
    <row r="141" spans="1:15" s="61" customFormat="1" ht="15" customHeight="1" x14ac:dyDescent="0.2">
      <c r="A141" s="884" t="s">
        <v>824</v>
      </c>
      <c r="B141" s="885"/>
      <c r="C141" s="885"/>
      <c r="D141" s="886"/>
      <c r="E141" s="194" t="s">
        <v>51</v>
      </c>
      <c r="F141" s="231" t="s">
        <v>107</v>
      </c>
      <c r="G141" s="195">
        <v>10000</v>
      </c>
      <c r="H141" s="884" t="s">
        <v>825</v>
      </c>
      <c r="I141" s="885"/>
      <c r="J141" s="885"/>
      <c r="K141" s="886"/>
      <c r="L141" s="61">
        <f t="shared" si="18"/>
        <v>3</v>
      </c>
      <c r="M141" s="61" t="str">
        <f t="shared" si="19"/>
        <v>Yes</v>
      </c>
      <c r="N141" s="61" t="str">
        <f t="shared" si="20"/>
        <v>Support ServicesHomeless</v>
      </c>
    </row>
    <row r="142" spans="1:15" s="61" customFormat="1" ht="15" customHeight="1" x14ac:dyDescent="0.2">
      <c r="A142" s="884" t="s">
        <v>829</v>
      </c>
      <c r="B142" s="885"/>
      <c r="C142" s="885"/>
      <c r="D142" s="886"/>
      <c r="E142" s="194" t="s">
        <v>51</v>
      </c>
      <c r="F142" s="231" t="s">
        <v>107</v>
      </c>
      <c r="G142" s="195">
        <v>20000</v>
      </c>
      <c r="H142" s="884" t="s">
        <v>830</v>
      </c>
      <c r="I142" s="885"/>
      <c r="J142" s="885"/>
      <c r="K142" s="886"/>
      <c r="L142" s="61">
        <f t="shared" si="18"/>
        <v>3</v>
      </c>
      <c r="M142" s="61" t="str">
        <f t="shared" si="19"/>
        <v>Yes</v>
      </c>
      <c r="N142" s="61" t="str">
        <f t="shared" si="20"/>
        <v>Support ServicesHomeless</v>
      </c>
    </row>
    <row r="143" spans="1:15" s="61" customFormat="1" ht="15" customHeight="1" x14ac:dyDescent="0.2">
      <c r="A143" s="884" t="s">
        <v>933</v>
      </c>
      <c r="B143" s="885"/>
      <c r="C143" s="885"/>
      <c r="D143" s="886"/>
      <c r="E143" s="194" t="s">
        <v>50</v>
      </c>
      <c r="F143" s="231" t="s">
        <v>360</v>
      </c>
      <c r="G143" s="195">
        <v>26000</v>
      </c>
      <c r="H143" s="884" t="s">
        <v>932</v>
      </c>
      <c r="I143" s="885"/>
      <c r="J143" s="885"/>
      <c r="K143" s="886"/>
      <c r="L143" s="61">
        <f t="shared" si="18"/>
        <v>3</v>
      </c>
      <c r="M143" s="61" t="str">
        <f t="shared" si="19"/>
        <v>Yes</v>
      </c>
      <c r="N143" s="61" t="str">
        <f t="shared" si="20"/>
        <v>InstructionNON SETASIDE</v>
      </c>
      <c r="O143" s="222"/>
    </row>
    <row r="144" spans="1:15" s="198" customFormat="1" ht="15" customHeight="1" x14ac:dyDescent="0.2">
      <c r="A144" s="878" t="s">
        <v>940</v>
      </c>
      <c r="B144" s="879"/>
      <c r="C144" s="879"/>
      <c r="D144" s="880"/>
      <c r="E144" s="196" t="s">
        <v>50</v>
      </c>
      <c r="F144" s="255" t="s">
        <v>360</v>
      </c>
      <c r="G144" s="197">
        <v>10000</v>
      </c>
      <c r="H144" s="878" t="s">
        <v>941</v>
      </c>
      <c r="I144" s="879"/>
      <c r="J144" s="879"/>
      <c r="K144" s="880"/>
      <c r="L144" s="198">
        <f t="shared" si="18"/>
        <v>3</v>
      </c>
      <c r="M144" s="198" t="str">
        <f t="shared" si="19"/>
        <v>Yes</v>
      </c>
      <c r="N144" s="198" t="str">
        <f t="shared" si="20"/>
        <v>InstructionNON SETASIDE</v>
      </c>
    </row>
    <row r="145" spans="1:16" s="61" customFormat="1" x14ac:dyDescent="0.2">
      <c r="A145" s="892" t="s">
        <v>977</v>
      </c>
      <c r="B145" s="894"/>
      <c r="C145" s="894"/>
      <c r="D145" s="893"/>
      <c r="E145" s="194" t="s">
        <v>50</v>
      </c>
      <c r="F145" s="194" t="s">
        <v>584</v>
      </c>
      <c r="G145" s="195">
        <v>150247.10999999999</v>
      </c>
      <c r="H145" s="884" t="s">
        <v>802</v>
      </c>
      <c r="I145" s="885"/>
      <c r="J145" s="885"/>
      <c r="K145" s="886"/>
      <c r="L145" s="61">
        <f>COUNTBLANK(E145:K145)</f>
        <v>3</v>
      </c>
      <c r="M145" s="61" t="str">
        <f>IF(AND(A145&lt;&gt;"",L145&gt;3),"No","Yes")</f>
        <v>Yes</v>
      </c>
      <c r="N145" s="61" t="str">
        <f>CONCATENATE(E145,F145)</f>
        <v>InstructionFocus Interventions</v>
      </c>
    </row>
    <row r="146" spans="1:16" s="61" customFormat="1" x14ac:dyDescent="0.2">
      <c r="A146" s="892" t="s">
        <v>977</v>
      </c>
      <c r="B146" s="894"/>
      <c r="C146" s="894"/>
      <c r="D146" s="893"/>
      <c r="E146" s="194" t="s">
        <v>50</v>
      </c>
      <c r="F146" s="194" t="s">
        <v>583</v>
      </c>
      <c r="G146" s="195">
        <v>124160.90000000002</v>
      </c>
      <c r="H146" s="884" t="s">
        <v>803</v>
      </c>
      <c r="I146" s="885"/>
      <c r="J146" s="885"/>
      <c r="K146" s="886"/>
      <c r="L146" s="61">
        <f t="shared" ref="L146:L151" si="23">COUNTBLANK(E146:K146)</f>
        <v>3</v>
      </c>
      <c r="M146" s="61" t="str">
        <f t="shared" ref="M146:M150" si="24">IF(AND(A146&lt;&gt;"",L146&gt;3),"No","Yes")</f>
        <v>Yes</v>
      </c>
      <c r="N146" s="61" t="str">
        <f t="shared" ref="N146:N149" si="25">CONCATENATE(E146,F146)</f>
        <v>InstructionPriority Interventions</v>
      </c>
    </row>
    <row r="147" spans="1:16" s="61" customFormat="1" x14ac:dyDescent="0.2">
      <c r="A147" s="884" t="s">
        <v>934</v>
      </c>
      <c r="B147" s="885"/>
      <c r="C147" s="885"/>
      <c r="D147" s="886"/>
      <c r="E147" s="194" t="s">
        <v>50</v>
      </c>
      <c r="F147" s="194" t="s">
        <v>360</v>
      </c>
      <c r="G147" s="195">
        <v>14990</v>
      </c>
      <c r="H147" s="884" t="s">
        <v>943</v>
      </c>
      <c r="I147" s="885"/>
      <c r="J147" s="885"/>
      <c r="K147" s="886"/>
      <c r="L147" s="61">
        <f t="shared" si="23"/>
        <v>3</v>
      </c>
      <c r="M147" s="61" t="str">
        <f t="shared" si="24"/>
        <v>Yes</v>
      </c>
      <c r="N147" s="61" t="str">
        <f t="shared" si="25"/>
        <v>InstructionNON SETASIDE</v>
      </c>
    </row>
    <row r="148" spans="1:16" s="198" customFormat="1" x14ac:dyDescent="0.2">
      <c r="A148" s="878" t="s">
        <v>942</v>
      </c>
      <c r="B148" s="879"/>
      <c r="C148" s="879"/>
      <c r="D148" s="880"/>
      <c r="E148" s="196" t="s">
        <v>50</v>
      </c>
      <c r="F148" s="196" t="s">
        <v>360</v>
      </c>
      <c r="G148" s="197">
        <v>17421</v>
      </c>
      <c r="H148" s="878" t="s">
        <v>944</v>
      </c>
      <c r="I148" s="879"/>
      <c r="J148" s="879"/>
      <c r="K148" s="880"/>
      <c r="L148" s="198">
        <f t="shared" si="23"/>
        <v>3</v>
      </c>
      <c r="M148" s="198" t="str">
        <f t="shared" si="24"/>
        <v>Yes</v>
      </c>
      <c r="N148" s="198" t="str">
        <f t="shared" si="25"/>
        <v>InstructionNON SETASIDE</v>
      </c>
    </row>
    <row r="149" spans="1:16" s="308" customFormat="1" x14ac:dyDescent="0.2">
      <c r="A149" s="901" t="s">
        <v>1155</v>
      </c>
      <c r="B149" s="902"/>
      <c r="C149" s="902"/>
      <c r="D149" s="903"/>
      <c r="E149" s="302" t="s">
        <v>50</v>
      </c>
      <c r="F149" s="302" t="s">
        <v>360</v>
      </c>
      <c r="G149" s="307">
        <v>57929.9</v>
      </c>
      <c r="H149" s="901" t="s">
        <v>945</v>
      </c>
      <c r="I149" s="902"/>
      <c r="J149" s="902"/>
      <c r="K149" s="903"/>
      <c r="L149" s="308">
        <f t="shared" si="23"/>
        <v>3</v>
      </c>
      <c r="M149" s="308" t="str">
        <f t="shared" si="24"/>
        <v>Yes</v>
      </c>
      <c r="N149" s="308" t="str">
        <f t="shared" si="25"/>
        <v>InstructionNON SETASIDE</v>
      </c>
    </row>
    <row r="150" spans="1:16" s="308" customFormat="1" x14ac:dyDescent="0.2">
      <c r="A150" s="300" t="s">
        <v>1156</v>
      </c>
      <c r="B150" s="306"/>
      <c r="C150" s="306"/>
      <c r="D150" s="301"/>
      <c r="E150" s="302" t="s">
        <v>50</v>
      </c>
      <c r="F150" s="302" t="s">
        <v>360</v>
      </c>
      <c r="G150" s="307">
        <v>10743.9</v>
      </c>
      <c r="H150" s="300" t="s">
        <v>1157</v>
      </c>
      <c r="I150" s="306"/>
      <c r="J150" s="306"/>
      <c r="K150" s="301"/>
      <c r="L150" s="308">
        <f t="shared" si="23"/>
        <v>3</v>
      </c>
      <c r="M150" s="61" t="str">
        <f t="shared" si="24"/>
        <v>Yes</v>
      </c>
    </row>
    <row r="151" spans="1:16" s="308" customFormat="1" x14ac:dyDescent="0.2">
      <c r="A151" s="300" t="s">
        <v>1158</v>
      </c>
      <c r="B151" s="306"/>
      <c r="C151" s="306"/>
      <c r="D151" s="301"/>
      <c r="E151" s="302" t="s">
        <v>50</v>
      </c>
      <c r="F151" s="302" t="s">
        <v>360</v>
      </c>
      <c r="G151" s="307">
        <v>45000</v>
      </c>
      <c r="H151" s="300" t="s">
        <v>1159</v>
      </c>
      <c r="I151" s="306"/>
      <c r="J151" s="306"/>
      <c r="K151" s="301"/>
      <c r="L151" s="308">
        <f t="shared" si="23"/>
        <v>3</v>
      </c>
      <c r="M151" s="61" t="str">
        <f t="shared" si="19"/>
        <v>Yes</v>
      </c>
    </row>
    <row r="152" spans="1:16" ht="15" customHeight="1" x14ac:dyDescent="0.2">
      <c r="A152" s="1194" t="s">
        <v>1166</v>
      </c>
      <c r="B152" s="1195"/>
      <c r="C152" s="1195"/>
      <c r="D152" s="1196"/>
      <c r="E152" s="1197" t="s">
        <v>51</v>
      </c>
      <c r="F152" s="1197" t="s">
        <v>111</v>
      </c>
      <c r="G152" s="1198">
        <v>14764</v>
      </c>
      <c r="H152" s="1194" t="s">
        <v>1167</v>
      </c>
      <c r="I152" s="1195"/>
      <c r="J152" s="1195"/>
      <c r="K152" s="1196"/>
      <c r="L152" s="61">
        <f t="shared" si="18"/>
        <v>3</v>
      </c>
      <c r="M152" s="61" t="str">
        <f t="shared" si="19"/>
        <v>Yes</v>
      </c>
      <c r="N152" s="61" t="str">
        <f t="shared" si="20"/>
        <v>Support ServicesParent Involvement</v>
      </c>
    </row>
    <row r="153" spans="1:16" ht="15" customHeight="1" x14ac:dyDescent="0.2">
      <c r="A153" s="771"/>
      <c r="B153" s="772"/>
      <c r="C153" s="772"/>
      <c r="D153" s="775"/>
      <c r="E153" s="27"/>
      <c r="F153" s="27"/>
      <c r="G153" s="29"/>
      <c r="H153" s="771"/>
      <c r="I153" s="772"/>
      <c r="J153" s="772"/>
      <c r="K153" s="775"/>
      <c r="L153" s="61">
        <f t="shared" si="18"/>
        <v>7</v>
      </c>
      <c r="M153" s="61" t="str">
        <f t="shared" si="19"/>
        <v>Yes</v>
      </c>
      <c r="N153" s="61" t="str">
        <f t="shared" si="20"/>
        <v/>
      </c>
    </row>
    <row r="154" spans="1:16" ht="15" customHeight="1" x14ac:dyDescent="0.2">
      <c r="A154" s="771"/>
      <c r="B154" s="772"/>
      <c r="C154" s="772"/>
      <c r="D154" s="775"/>
      <c r="E154" s="27"/>
      <c r="F154" s="27"/>
      <c r="G154" s="29"/>
      <c r="H154" s="771"/>
      <c r="I154" s="772"/>
      <c r="J154" s="772"/>
      <c r="K154" s="775"/>
      <c r="L154" s="61">
        <f t="shared" si="18"/>
        <v>7</v>
      </c>
      <c r="M154" s="61" t="str">
        <f t="shared" si="19"/>
        <v>Yes</v>
      </c>
      <c r="N154" s="61" t="str">
        <f t="shared" si="20"/>
        <v/>
      </c>
    </row>
    <row r="155" spans="1:16" ht="15" customHeight="1" x14ac:dyDescent="0.2">
      <c r="A155" s="898" t="s">
        <v>91</v>
      </c>
      <c r="B155" s="786"/>
      <c r="C155" s="786"/>
      <c r="D155" s="786"/>
      <c r="E155" s="786"/>
      <c r="F155" s="787"/>
      <c r="G155" s="788">
        <f>SUM(G135:G154)</f>
        <v>1034951.9000000001</v>
      </c>
      <c r="H155" s="789"/>
      <c r="I155" s="789"/>
      <c r="J155" s="789"/>
      <c r="K155" s="897"/>
      <c r="M155" s="1">
        <f>COUNTIF(M131:M154,"Yes")</f>
        <v>20</v>
      </c>
    </row>
    <row r="156" spans="1:16" ht="15" customHeight="1" x14ac:dyDescent="0.2">
      <c r="A156" s="895"/>
      <c r="B156" s="811"/>
      <c r="C156" s="811"/>
      <c r="D156" s="811"/>
      <c r="E156" s="811"/>
      <c r="F156" s="811"/>
      <c r="G156" s="811"/>
      <c r="H156" s="811"/>
      <c r="I156" s="811"/>
      <c r="J156" s="811"/>
      <c r="K156" s="896"/>
    </row>
    <row r="157" spans="1:16" ht="15" customHeight="1" x14ac:dyDescent="0.2">
      <c r="A157" s="899" t="s">
        <v>45</v>
      </c>
      <c r="B157" s="783"/>
      <c r="C157" s="783"/>
      <c r="D157" s="783"/>
      <c r="E157" s="783"/>
      <c r="F157" s="783"/>
      <c r="G157" s="783"/>
      <c r="H157" s="783"/>
      <c r="I157" s="783"/>
      <c r="J157" s="783"/>
      <c r="K157" s="900"/>
    </row>
    <row r="158" spans="1:16" ht="15" customHeight="1" x14ac:dyDescent="0.2">
      <c r="A158" s="899" t="s">
        <v>478</v>
      </c>
      <c r="B158" s="783"/>
      <c r="C158" s="783"/>
      <c r="D158" s="783"/>
      <c r="E158" s="783"/>
      <c r="F158" s="783"/>
      <c r="G158" s="783"/>
      <c r="H158" s="783"/>
      <c r="I158" s="783"/>
      <c r="J158" s="783"/>
      <c r="K158" s="900"/>
    </row>
    <row r="159" spans="1:16" ht="15" customHeight="1" x14ac:dyDescent="0.2">
      <c r="A159" s="804" t="s">
        <v>49</v>
      </c>
      <c r="B159" s="792"/>
      <c r="C159" s="792"/>
      <c r="D159" s="793"/>
      <c r="E159" s="800" t="s">
        <v>43</v>
      </c>
      <c r="F159" s="800" t="s">
        <v>118</v>
      </c>
      <c r="G159" s="800" t="s">
        <v>104</v>
      </c>
      <c r="H159" s="804" t="s">
        <v>53</v>
      </c>
      <c r="I159" s="792"/>
      <c r="J159" s="792"/>
      <c r="K159" s="793"/>
      <c r="N159" s="289"/>
      <c r="O159" s="289"/>
      <c r="P159" s="289"/>
    </row>
    <row r="160" spans="1:16" ht="14.25" customHeight="1" x14ac:dyDescent="0.2">
      <c r="A160" s="806"/>
      <c r="B160" s="795"/>
      <c r="C160" s="795"/>
      <c r="D160" s="796"/>
      <c r="E160" s="801"/>
      <c r="F160" s="801"/>
      <c r="G160" s="801"/>
      <c r="H160" s="806"/>
      <c r="I160" s="795"/>
      <c r="J160" s="795"/>
      <c r="K160" s="796"/>
    </row>
    <row r="161" spans="1:15" ht="15" customHeight="1" x14ac:dyDescent="0.2">
      <c r="A161" s="806"/>
      <c r="B161" s="795"/>
      <c r="C161" s="795"/>
      <c r="D161" s="796"/>
      <c r="E161" s="801"/>
      <c r="F161" s="801"/>
      <c r="G161" s="801"/>
      <c r="H161" s="806"/>
      <c r="I161" s="795"/>
      <c r="J161" s="795"/>
      <c r="K161" s="796"/>
    </row>
    <row r="162" spans="1:15" ht="15" customHeight="1" x14ac:dyDescent="0.2">
      <c r="A162" s="806"/>
      <c r="B162" s="795"/>
      <c r="C162" s="795"/>
      <c r="D162" s="796"/>
      <c r="E162" s="801"/>
      <c r="F162" s="801"/>
      <c r="G162" s="801"/>
      <c r="H162" s="806"/>
      <c r="I162" s="795"/>
      <c r="J162" s="795"/>
      <c r="K162" s="796"/>
    </row>
    <row r="163" spans="1:15" ht="15" customHeight="1" x14ac:dyDescent="0.2">
      <c r="A163" s="806"/>
      <c r="B163" s="795"/>
      <c r="C163" s="795"/>
      <c r="D163" s="796"/>
      <c r="E163" s="801"/>
      <c r="F163" s="801"/>
      <c r="G163" s="801"/>
      <c r="H163" s="806"/>
      <c r="I163" s="795"/>
      <c r="J163" s="795"/>
      <c r="K163" s="796"/>
    </row>
    <row r="164" spans="1:15" ht="15" customHeight="1" x14ac:dyDescent="0.2">
      <c r="A164" s="808"/>
      <c r="B164" s="798"/>
      <c r="C164" s="798"/>
      <c r="D164" s="799"/>
      <c r="E164" s="802"/>
      <c r="F164" s="802"/>
      <c r="G164" s="802"/>
      <c r="H164" s="808"/>
      <c r="I164" s="798"/>
      <c r="J164" s="798"/>
      <c r="K164" s="799"/>
    </row>
    <row r="165" spans="1:15" ht="15" customHeight="1" x14ac:dyDescent="0.2">
      <c r="A165" s="771"/>
      <c r="B165" s="772"/>
      <c r="C165" s="772"/>
      <c r="D165" s="775"/>
      <c r="E165" s="27"/>
      <c r="F165" s="27"/>
      <c r="G165" s="29"/>
      <c r="H165" s="771"/>
      <c r="I165" s="772"/>
      <c r="J165" s="772"/>
      <c r="K165" s="775"/>
      <c r="L165" s="61">
        <f t="shared" ref="L165:L188" si="26">COUNTBLANK(E165:K165)</f>
        <v>7</v>
      </c>
      <c r="M165" s="61" t="str">
        <f t="shared" ref="M165:M188" si="27">IF(AND(A165&lt;&gt;"",L165&gt;3),"No","Yes")</f>
        <v>Yes</v>
      </c>
      <c r="N165" s="61" t="str">
        <f t="shared" ref="N165:N188" si="28">CONCATENATE(E165,F165)</f>
        <v/>
      </c>
    </row>
    <row r="166" spans="1:15" ht="15" customHeight="1" x14ac:dyDescent="0.2">
      <c r="A166" s="771"/>
      <c r="B166" s="772"/>
      <c r="C166" s="772"/>
      <c r="D166" s="775"/>
      <c r="E166" s="27"/>
      <c r="F166" s="27"/>
      <c r="G166" s="29"/>
      <c r="H166" s="771"/>
      <c r="I166" s="772"/>
      <c r="J166" s="772"/>
      <c r="K166" s="775"/>
      <c r="L166" s="61">
        <f t="shared" si="26"/>
        <v>7</v>
      </c>
      <c r="M166" s="61" t="str">
        <f t="shared" si="27"/>
        <v>Yes</v>
      </c>
      <c r="N166" s="61" t="str">
        <f t="shared" si="28"/>
        <v/>
      </c>
    </row>
    <row r="167" spans="1:15" ht="15" customHeight="1" x14ac:dyDescent="0.2">
      <c r="A167" s="771"/>
      <c r="B167" s="772"/>
      <c r="C167" s="772"/>
      <c r="D167" s="775"/>
      <c r="E167" s="27"/>
      <c r="F167" s="27"/>
      <c r="G167" s="29"/>
      <c r="H167" s="771"/>
      <c r="I167" s="772"/>
      <c r="J167" s="772"/>
      <c r="K167" s="775"/>
      <c r="L167" s="61">
        <f t="shared" si="26"/>
        <v>7</v>
      </c>
      <c r="M167" s="61" t="str">
        <f t="shared" si="27"/>
        <v>Yes</v>
      </c>
      <c r="N167" s="61" t="str">
        <f t="shared" si="28"/>
        <v/>
      </c>
    </row>
    <row r="168" spans="1:15" ht="15" customHeight="1" x14ac:dyDescent="0.2">
      <c r="A168" s="771"/>
      <c r="B168" s="772"/>
      <c r="C168" s="772"/>
      <c r="D168" s="775"/>
      <c r="E168" s="27"/>
      <c r="F168" s="27"/>
      <c r="G168" s="29"/>
      <c r="H168" s="771"/>
      <c r="I168" s="772"/>
      <c r="J168" s="772"/>
      <c r="K168" s="775"/>
      <c r="L168" s="61">
        <f t="shared" si="26"/>
        <v>7</v>
      </c>
      <c r="M168" s="61" t="str">
        <f t="shared" si="27"/>
        <v>Yes</v>
      </c>
      <c r="N168" s="61" t="str">
        <f t="shared" si="28"/>
        <v/>
      </c>
    </row>
    <row r="169" spans="1:15" ht="15" customHeight="1" x14ac:dyDescent="0.2">
      <c r="A169" s="771"/>
      <c r="B169" s="772"/>
      <c r="C169" s="772"/>
      <c r="D169" s="775"/>
      <c r="E169" s="27"/>
      <c r="F169" s="27"/>
      <c r="G169" s="29"/>
      <c r="H169" s="771"/>
      <c r="I169" s="772"/>
      <c r="J169" s="772"/>
      <c r="K169" s="775"/>
      <c r="L169" s="61">
        <f t="shared" si="26"/>
        <v>7</v>
      </c>
      <c r="M169" s="61" t="str">
        <f t="shared" si="27"/>
        <v>Yes</v>
      </c>
      <c r="N169" s="61" t="str">
        <f t="shared" si="28"/>
        <v/>
      </c>
      <c r="O169" s="1">
        <f>44:44</f>
        <v>0</v>
      </c>
    </row>
    <row r="170" spans="1:15" ht="15" customHeight="1" x14ac:dyDescent="0.2">
      <c r="A170" s="771"/>
      <c r="B170" s="772"/>
      <c r="C170" s="772"/>
      <c r="D170" s="775"/>
      <c r="E170" s="27"/>
      <c r="F170" s="27"/>
      <c r="G170" s="29"/>
      <c r="H170" s="771"/>
      <c r="I170" s="772"/>
      <c r="J170" s="772"/>
      <c r="K170" s="775"/>
      <c r="L170" s="61">
        <f t="shared" si="26"/>
        <v>7</v>
      </c>
      <c r="M170" s="61" t="str">
        <f t="shared" si="27"/>
        <v>Yes</v>
      </c>
      <c r="N170" s="61" t="str">
        <f t="shared" si="28"/>
        <v/>
      </c>
    </row>
    <row r="171" spans="1:15" ht="15" customHeight="1" x14ac:dyDescent="0.2">
      <c r="A171" s="771"/>
      <c r="B171" s="772"/>
      <c r="C171" s="772"/>
      <c r="D171" s="775"/>
      <c r="E171" s="27"/>
      <c r="F171" s="27"/>
      <c r="G171" s="29"/>
      <c r="H171" s="771"/>
      <c r="I171" s="772"/>
      <c r="J171" s="772"/>
      <c r="K171" s="775"/>
      <c r="L171" s="61">
        <f t="shared" si="26"/>
        <v>7</v>
      </c>
      <c r="M171" s="61" t="str">
        <f t="shared" si="27"/>
        <v>Yes</v>
      </c>
      <c r="N171" s="61" t="str">
        <f t="shared" si="28"/>
        <v/>
      </c>
    </row>
    <row r="172" spans="1:15" ht="15" customHeight="1" x14ac:dyDescent="0.2">
      <c r="A172" s="771"/>
      <c r="B172" s="772"/>
      <c r="C172" s="772"/>
      <c r="D172" s="775"/>
      <c r="E172" s="27"/>
      <c r="F172" s="27"/>
      <c r="G172" s="29"/>
      <c r="H172" s="771"/>
      <c r="I172" s="772"/>
      <c r="J172" s="772"/>
      <c r="K172" s="775"/>
      <c r="L172" s="61">
        <f t="shared" si="26"/>
        <v>7</v>
      </c>
      <c r="M172" s="61" t="str">
        <f t="shared" si="27"/>
        <v>Yes</v>
      </c>
      <c r="N172" s="61" t="str">
        <f t="shared" si="28"/>
        <v/>
      </c>
    </row>
    <row r="173" spans="1:15" ht="15" customHeight="1" x14ac:dyDescent="0.2">
      <c r="A173" s="771"/>
      <c r="B173" s="772"/>
      <c r="C173" s="772"/>
      <c r="D173" s="775"/>
      <c r="E173" s="27"/>
      <c r="F173" s="27"/>
      <c r="G173" s="29"/>
      <c r="H173" s="771"/>
      <c r="I173" s="772"/>
      <c r="J173" s="772"/>
      <c r="K173" s="775"/>
      <c r="L173" s="61">
        <f t="shared" si="26"/>
        <v>7</v>
      </c>
      <c r="M173" s="61" t="str">
        <f t="shared" si="27"/>
        <v>Yes</v>
      </c>
      <c r="N173" s="61" t="str">
        <f t="shared" si="28"/>
        <v/>
      </c>
    </row>
    <row r="174" spans="1:15" ht="15" customHeight="1" x14ac:dyDescent="0.2">
      <c r="A174" s="771"/>
      <c r="B174" s="772"/>
      <c r="C174" s="772"/>
      <c r="D174" s="775"/>
      <c r="E174" s="27"/>
      <c r="F174" s="27"/>
      <c r="G174" s="29"/>
      <c r="H174" s="771"/>
      <c r="I174" s="772"/>
      <c r="J174" s="772"/>
      <c r="K174" s="775"/>
      <c r="L174" s="61">
        <f t="shared" si="26"/>
        <v>7</v>
      </c>
      <c r="M174" s="61" t="str">
        <f t="shared" si="27"/>
        <v>Yes</v>
      </c>
      <c r="N174" s="61" t="str">
        <f t="shared" si="28"/>
        <v/>
      </c>
    </row>
    <row r="175" spans="1:15" ht="15" customHeight="1" x14ac:dyDescent="0.2">
      <c r="A175" s="771"/>
      <c r="B175" s="772"/>
      <c r="C175" s="772"/>
      <c r="D175" s="775"/>
      <c r="E175" s="27"/>
      <c r="F175" s="27"/>
      <c r="G175" s="29"/>
      <c r="H175" s="771"/>
      <c r="I175" s="772"/>
      <c r="J175" s="772"/>
      <c r="K175" s="775"/>
      <c r="L175" s="61">
        <f t="shared" si="26"/>
        <v>7</v>
      </c>
      <c r="M175" s="61" t="str">
        <f t="shared" si="27"/>
        <v>Yes</v>
      </c>
      <c r="N175" s="61" t="str">
        <f t="shared" si="28"/>
        <v/>
      </c>
    </row>
    <row r="176" spans="1:15" ht="15" customHeight="1" x14ac:dyDescent="0.2">
      <c r="A176" s="771"/>
      <c r="B176" s="772"/>
      <c r="C176" s="772"/>
      <c r="D176" s="775"/>
      <c r="E176" s="27"/>
      <c r="F176" s="27"/>
      <c r="G176" s="29"/>
      <c r="H176" s="771"/>
      <c r="I176" s="772"/>
      <c r="J176" s="772"/>
      <c r="K176" s="775"/>
      <c r="L176" s="61">
        <f t="shared" si="26"/>
        <v>7</v>
      </c>
      <c r="M176" s="61" t="str">
        <f t="shared" si="27"/>
        <v>Yes</v>
      </c>
      <c r="N176" s="61" t="str">
        <f t="shared" si="28"/>
        <v/>
      </c>
    </row>
    <row r="177" spans="1:14" ht="15" customHeight="1" x14ac:dyDescent="0.2">
      <c r="A177" s="771"/>
      <c r="B177" s="772"/>
      <c r="C177" s="772"/>
      <c r="D177" s="775"/>
      <c r="E177" s="27"/>
      <c r="F177" s="27"/>
      <c r="G177" s="29"/>
      <c r="H177" s="771"/>
      <c r="I177" s="772"/>
      <c r="J177" s="772"/>
      <c r="K177" s="775"/>
      <c r="L177" s="61">
        <f t="shared" si="26"/>
        <v>7</v>
      </c>
      <c r="M177" s="61" t="str">
        <f t="shared" si="27"/>
        <v>Yes</v>
      </c>
      <c r="N177" s="61" t="str">
        <f t="shared" si="28"/>
        <v/>
      </c>
    </row>
    <row r="178" spans="1:14" ht="15" customHeight="1" x14ac:dyDescent="0.2">
      <c r="A178" s="771"/>
      <c r="B178" s="772"/>
      <c r="C178" s="772"/>
      <c r="D178" s="775"/>
      <c r="E178" s="27"/>
      <c r="F178" s="27"/>
      <c r="G178" s="29"/>
      <c r="H178" s="771"/>
      <c r="I178" s="772"/>
      <c r="J178" s="772"/>
      <c r="K178" s="775"/>
      <c r="L178" s="61">
        <f t="shared" si="26"/>
        <v>7</v>
      </c>
      <c r="M178" s="61" t="str">
        <f t="shared" si="27"/>
        <v>Yes</v>
      </c>
      <c r="N178" s="61" t="str">
        <f t="shared" si="28"/>
        <v/>
      </c>
    </row>
    <row r="179" spans="1:14" ht="15" customHeight="1" x14ac:dyDescent="0.2">
      <c r="A179" s="771"/>
      <c r="B179" s="772"/>
      <c r="C179" s="772"/>
      <c r="D179" s="775"/>
      <c r="E179" s="27"/>
      <c r="F179" s="27"/>
      <c r="G179" s="29"/>
      <c r="H179" s="771"/>
      <c r="I179" s="772"/>
      <c r="J179" s="772"/>
      <c r="K179" s="775"/>
      <c r="L179" s="61">
        <f t="shared" si="26"/>
        <v>7</v>
      </c>
      <c r="M179" s="61" t="str">
        <f t="shared" si="27"/>
        <v>Yes</v>
      </c>
      <c r="N179" s="61" t="str">
        <f t="shared" si="28"/>
        <v/>
      </c>
    </row>
    <row r="180" spans="1:14" ht="15" customHeight="1" x14ac:dyDescent="0.2">
      <c r="A180" s="771"/>
      <c r="B180" s="772"/>
      <c r="C180" s="772"/>
      <c r="D180" s="775"/>
      <c r="E180" s="27"/>
      <c r="F180" s="27"/>
      <c r="G180" s="29"/>
      <c r="H180" s="771"/>
      <c r="I180" s="772"/>
      <c r="J180" s="772"/>
      <c r="K180" s="775"/>
      <c r="L180" s="61">
        <f t="shared" si="26"/>
        <v>7</v>
      </c>
      <c r="M180" s="61" t="str">
        <f t="shared" si="27"/>
        <v>Yes</v>
      </c>
      <c r="N180" s="61" t="str">
        <f t="shared" si="28"/>
        <v/>
      </c>
    </row>
    <row r="181" spans="1:14" ht="15" customHeight="1" x14ac:dyDescent="0.2">
      <c r="A181" s="771"/>
      <c r="B181" s="772"/>
      <c r="C181" s="772"/>
      <c r="D181" s="775"/>
      <c r="E181" s="27"/>
      <c r="F181" s="27"/>
      <c r="G181" s="29"/>
      <c r="H181" s="771"/>
      <c r="I181" s="772"/>
      <c r="J181" s="772"/>
      <c r="K181" s="775"/>
      <c r="L181" s="61">
        <f t="shared" si="26"/>
        <v>7</v>
      </c>
      <c r="M181" s="61" t="str">
        <f t="shared" si="27"/>
        <v>Yes</v>
      </c>
      <c r="N181" s="61" t="str">
        <f t="shared" si="28"/>
        <v/>
      </c>
    </row>
    <row r="182" spans="1:14" ht="15" customHeight="1" x14ac:dyDescent="0.2">
      <c r="A182" s="771"/>
      <c r="B182" s="772"/>
      <c r="C182" s="772"/>
      <c r="D182" s="775"/>
      <c r="E182" s="27"/>
      <c r="F182" s="27"/>
      <c r="G182" s="29"/>
      <c r="H182" s="771"/>
      <c r="I182" s="772"/>
      <c r="J182" s="772"/>
      <c r="K182" s="775"/>
      <c r="L182" s="61">
        <f t="shared" si="26"/>
        <v>7</v>
      </c>
      <c r="M182" s="61" t="str">
        <f t="shared" si="27"/>
        <v>Yes</v>
      </c>
      <c r="N182" s="61" t="str">
        <f t="shared" si="28"/>
        <v/>
      </c>
    </row>
    <row r="183" spans="1:14" ht="15" customHeight="1" x14ac:dyDescent="0.2">
      <c r="A183" s="771"/>
      <c r="B183" s="772"/>
      <c r="C183" s="772"/>
      <c r="D183" s="775"/>
      <c r="E183" s="27"/>
      <c r="F183" s="27"/>
      <c r="G183" s="29"/>
      <c r="H183" s="771"/>
      <c r="I183" s="772"/>
      <c r="J183" s="772"/>
      <c r="K183" s="775"/>
      <c r="L183" s="61">
        <f t="shared" si="26"/>
        <v>7</v>
      </c>
      <c r="M183" s="61" t="str">
        <f t="shared" si="27"/>
        <v>Yes</v>
      </c>
      <c r="N183" s="61" t="str">
        <f t="shared" si="28"/>
        <v/>
      </c>
    </row>
    <row r="184" spans="1:14" ht="15" customHeight="1" x14ac:dyDescent="0.2">
      <c r="A184" s="771"/>
      <c r="B184" s="772"/>
      <c r="C184" s="772"/>
      <c r="D184" s="775"/>
      <c r="E184" s="27"/>
      <c r="F184" s="27"/>
      <c r="G184" s="29"/>
      <c r="H184" s="771"/>
      <c r="I184" s="772"/>
      <c r="J184" s="772"/>
      <c r="K184" s="775"/>
      <c r="L184" s="61">
        <f t="shared" si="26"/>
        <v>7</v>
      </c>
      <c r="M184" s="61" t="str">
        <f t="shared" si="27"/>
        <v>Yes</v>
      </c>
      <c r="N184" s="61" t="str">
        <f t="shared" si="28"/>
        <v/>
      </c>
    </row>
    <row r="185" spans="1:14" ht="15" customHeight="1" x14ac:dyDescent="0.2">
      <c r="A185" s="771"/>
      <c r="B185" s="772"/>
      <c r="C185" s="772"/>
      <c r="D185" s="775"/>
      <c r="E185" s="27"/>
      <c r="F185" s="27"/>
      <c r="G185" s="29"/>
      <c r="H185" s="771"/>
      <c r="I185" s="772"/>
      <c r="J185" s="772"/>
      <c r="K185" s="775"/>
      <c r="L185" s="61">
        <f t="shared" si="26"/>
        <v>7</v>
      </c>
      <c r="M185" s="61" t="str">
        <f t="shared" si="27"/>
        <v>Yes</v>
      </c>
      <c r="N185" s="61" t="str">
        <f t="shared" si="28"/>
        <v/>
      </c>
    </row>
    <row r="186" spans="1:14" ht="15" customHeight="1" x14ac:dyDescent="0.2">
      <c r="A186" s="771"/>
      <c r="B186" s="772"/>
      <c r="C186" s="772"/>
      <c r="D186" s="775"/>
      <c r="E186" s="27"/>
      <c r="F186" s="27"/>
      <c r="G186" s="29"/>
      <c r="H186" s="771"/>
      <c r="I186" s="772"/>
      <c r="J186" s="772"/>
      <c r="K186" s="775"/>
      <c r="L186" s="61">
        <f t="shared" si="26"/>
        <v>7</v>
      </c>
      <c r="M186" s="61" t="str">
        <f t="shared" si="27"/>
        <v>Yes</v>
      </c>
      <c r="N186" s="61" t="str">
        <f t="shared" si="28"/>
        <v/>
      </c>
    </row>
    <row r="187" spans="1:14" ht="18" customHeight="1" x14ac:dyDescent="0.2">
      <c r="A187" s="771"/>
      <c r="B187" s="772"/>
      <c r="C187" s="772"/>
      <c r="D187" s="775"/>
      <c r="E187" s="27"/>
      <c r="F187" s="27"/>
      <c r="G187" s="29"/>
      <c r="H187" s="771"/>
      <c r="I187" s="772"/>
      <c r="J187" s="772"/>
      <c r="K187" s="775"/>
      <c r="L187" s="61">
        <f t="shared" si="26"/>
        <v>7</v>
      </c>
      <c r="M187" s="61" t="str">
        <f t="shared" si="27"/>
        <v>Yes</v>
      </c>
      <c r="N187" s="61" t="str">
        <f t="shared" si="28"/>
        <v/>
      </c>
    </row>
    <row r="188" spans="1:14" ht="18" customHeight="1" x14ac:dyDescent="0.2">
      <c r="A188" s="771"/>
      <c r="B188" s="772"/>
      <c r="C188" s="772"/>
      <c r="D188" s="775"/>
      <c r="E188" s="27"/>
      <c r="F188" s="27"/>
      <c r="G188" s="29"/>
      <c r="H188" s="771"/>
      <c r="I188" s="772"/>
      <c r="J188" s="772"/>
      <c r="K188" s="775"/>
      <c r="L188" s="61">
        <f t="shared" si="26"/>
        <v>7</v>
      </c>
      <c r="M188" s="61" t="str">
        <f t="shared" si="27"/>
        <v>Yes</v>
      </c>
      <c r="N188" s="61" t="str">
        <f t="shared" si="28"/>
        <v/>
      </c>
    </row>
    <row r="189" spans="1:14" ht="15" customHeight="1" x14ac:dyDescent="0.2">
      <c r="A189" s="771"/>
      <c r="B189" s="772"/>
      <c r="C189" s="772"/>
      <c r="D189" s="775"/>
      <c r="E189" s="27"/>
      <c r="F189" s="27"/>
      <c r="G189" s="29"/>
      <c r="H189" s="771"/>
      <c r="I189" s="772"/>
      <c r="J189" s="772"/>
      <c r="K189" s="775"/>
      <c r="L189" s="61">
        <f t="shared" ref="L189" si="29">COUNTBLANK(E189:K189)</f>
        <v>7</v>
      </c>
      <c r="M189" s="61" t="str">
        <f t="shared" ref="M189" si="30">IF(AND(A189&lt;&gt;"",L189&gt;3),"No","Yes")</f>
        <v>Yes</v>
      </c>
      <c r="N189" s="61" t="str">
        <f t="shared" ref="N189" si="31">CONCATENATE(E189,F189)</f>
        <v/>
      </c>
    </row>
    <row r="190" spans="1:14" ht="15" customHeight="1" x14ac:dyDescent="0.2">
      <c r="A190" s="898" t="s">
        <v>96</v>
      </c>
      <c r="B190" s="786"/>
      <c r="C190" s="786"/>
      <c r="D190" s="786"/>
      <c r="E190" s="786"/>
      <c r="F190" s="787"/>
      <c r="G190" s="788">
        <f>SUM(G165:G189)</f>
        <v>0</v>
      </c>
      <c r="H190" s="789"/>
      <c r="I190" s="789"/>
      <c r="J190" s="789"/>
      <c r="K190" s="897"/>
      <c r="M190" s="1">
        <f>COUNTIF(M163:M189,"Yes")</f>
        <v>25</v>
      </c>
    </row>
    <row r="191" spans="1:14" ht="15" customHeight="1" x14ac:dyDescent="0.2">
      <c r="A191" s="895"/>
      <c r="B191" s="811"/>
      <c r="C191" s="811"/>
      <c r="D191" s="811"/>
      <c r="E191" s="811"/>
      <c r="F191" s="811"/>
      <c r="G191" s="811"/>
      <c r="H191" s="811"/>
      <c r="I191" s="811"/>
      <c r="J191" s="811"/>
      <c r="K191" s="896"/>
    </row>
    <row r="192" spans="1:14" ht="15" customHeight="1" x14ac:dyDescent="0.2">
      <c r="A192" s="899" t="s">
        <v>97</v>
      </c>
      <c r="B192" s="783"/>
      <c r="C192" s="783"/>
      <c r="D192" s="783"/>
      <c r="E192" s="783"/>
      <c r="F192" s="783"/>
      <c r="G192" s="783"/>
      <c r="H192" s="783"/>
      <c r="I192" s="783"/>
      <c r="J192" s="783"/>
      <c r="K192" s="900"/>
    </row>
    <row r="193" spans="1:55" ht="15" customHeight="1" x14ac:dyDescent="0.2">
      <c r="A193" s="899" t="s">
        <v>478</v>
      </c>
      <c r="B193" s="783"/>
      <c r="C193" s="783"/>
      <c r="D193" s="783"/>
      <c r="E193" s="783"/>
      <c r="F193" s="783"/>
      <c r="G193" s="783"/>
      <c r="H193" s="783"/>
      <c r="I193" s="783"/>
      <c r="J193" s="783"/>
      <c r="K193" s="900"/>
    </row>
    <row r="194" spans="1:55" ht="14.25" customHeight="1" x14ac:dyDescent="0.2">
      <c r="A194" s="804" t="s">
        <v>49</v>
      </c>
      <c r="B194" s="792"/>
      <c r="C194" s="792"/>
      <c r="D194" s="793"/>
      <c r="E194" s="800" t="s">
        <v>43</v>
      </c>
      <c r="F194" s="800" t="s">
        <v>118</v>
      </c>
      <c r="G194" s="803" t="s">
        <v>104</v>
      </c>
      <c r="H194" s="804" t="s">
        <v>53</v>
      </c>
      <c r="I194" s="792"/>
      <c r="J194" s="792"/>
      <c r="K194" s="793"/>
    </row>
    <row r="195" spans="1:55" ht="15" customHeight="1" x14ac:dyDescent="0.2">
      <c r="A195" s="806"/>
      <c r="B195" s="795"/>
      <c r="C195" s="795"/>
      <c r="D195" s="796"/>
      <c r="E195" s="801"/>
      <c r="F195" s="801"/>
      <c r="G195" s="801"/>
      <c r="H195" s="806"/>
      <c r="I195" s="795"/>
      <c r="J195" s="795"/>
      <c r="K195" s="796"/>
    </row>
    <row r="196" spans="1:55" ht="15" customHeight="1" x14ac:dyDescent="0.2">
      <c r="A196" s="806"/>
      <c r="B196" s="795"/>
      <c r="C196" s="795"/>
      <c r="D196" s="796"/>
      <c r="E196" s="801"/>
      <c r="F196" s="801"/>
      <c r="G196" s="801"/>
      <c r="H196" s="806"/>
      <c r="I196" s="795"/>
      <c r="J196" s="795"/>
      <c r="K196" s="796"/>
    </row>
    <row r="197" spans="1:55" ht="15" customHeight="1" x14ac:dyDescent="0.2">
      <c r="A197" s="806"/>
      <c r="B197" s="795"/>
      <c r="C197" s="795"/>
      <c r="D197" s="796"/>
      <c r="E197" s="801"/>
      <c r="F197" s="801"/>
      <c r="G197" s="801"/>
      <c r="H197" s="806"/>
      <c r="I197" s="795"/>
      <c r="J197" s="795"/>
      <c r="K197" s="796"/>
    </row>
    <row r="198" spans="1:55" s="221" customFormat="1" ht="15" customHeight="1" x14ac:dyDescent="0.2">
      <c r="A198" s="806"/>
      <c r="B198" s="795"/>
      <c r="C198" s="795"/>
      <c r="D198" s="796"/>
      <c r="E198" s="801"/>
      <c r="F198" s="801"/>
      <c r="G198" s="801"/>
      <c r="H198" s="806"/>
      <c r="I198" s="795"/>
      <c r="J198" s="795"/>
      <c r="K198" s="796"/>
      <c r="L198" s="61"/>
      <c r="M198" s="61"/>
      <c r="N198" s="61"/>
      <c r="O198" s="222"/>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row>
    <row r="199" spans="1:55" s="221" customFormat="1" ht="15" customHeight="1" x14ac:dyDescent="0.2">
      <c r="A199" s="808"/>
      <c r="B199" s="798"/>
      <c r="C199" s="798"/>
      <c r="D199" s="799"/>
      <c r="E199" s="802"/>
      <c r="F199" s="802"/>
      <c r="G199" s="802"/>
      <c r="H199" s="808"/>
      <c r="I199" s="798"/>
      <c r="J199" s="798"/>
      <c r="K199" s="799"/>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row>
    <row r="200" spans="1:55" ht="15" customHeight="1" x14ac:dyDescent="0.2">
      <c r="A200" s="771" t="s">
        <v>800</v>
      </c>
      <c r="B200" s="772"/>
      <c r="C200" s="772"/>
      <c r="D200" s="775"/>
      <c r="E200" s="27" t="s">
        <v>51</v>
      </c>
      <c r="F200" s="27" t="s">
        <v>584</v>
      </c>
      <c r="G200" s="29">
        <v>535044</v>
      </c>
      <c r="H200" s="890" t="s">
        <v>979</v>
      </c>
      <c r="I200" s="772"/>
      <c r="J200" s="772"/>
      <c r="K200" s="775"/>
      <c r="L200" s="61">
        <f>COUNTBLANK(E200:K200)</f>
        <v>3</v>
      </c>
      <c r="M200" s="61" t="str">
        <f>IF(AND(A200&lt;&gt;"",L200&gt;3),"No","Yes")</f>
        <v>Yes</v>
      </c>
      <c r="N200" s="61" t="str">
        <f>CONCATENATE(E200,F200)</f>
        <v>Support ServicesFocus Interventions</v>
      </c>
      <c r="O200" s="218"/>
    </row>
    <row r="201" spans="1:55" s="61" customFormat="1" ht="15" customHeight="1" x14ac:dyDescent="0.2">
      <c r="A201" s="884" t="s">
        <v>801</v>
      </c>
      <c r="B201" s="885"/>
      <c r="C201" s="885"/>
      <c r="D201" s="886"/>
      <c r="E201" s="194" t="s">
        <v>51</v>
      </c>
      <c r="F201" s="194" t="s">
        <v>583</v>
      </c>
      <c r="G201" s="195">
        <v>1013030</v>
      </c>
      <c r="H201" s="892" t="s">
        <v>979</v>
      </c>
      <c r="I201" s="885"/>
      <c r="J201" s="885"/>
      <c r="K201" s="886"/>
      <c r="L201" s="61">
        <f>COUNTBLANK(E201:K201)</f>
        <v>3</v>
      </c>
      <c r="M201" s="61" t="str">
        <f>IF(AND(A201&lt;&gt;"",L201&gt;3),"No","Yes")</f>
        <v>Yes</v>
      </c>
      <c r="N201" s="61" t="str">
        <f>CONCATENATE(E201,F201)</f>
        <v>Support ServicesPriority Interventions</v>
      </c>
    </row>
    <row r="202" spans="1:55" s="221" customFormat="1" ht="15" customHeight="1" x14ac:dyDescent="0.2">
      <c r="A202" s="887" t="s">
        <v>1095</v>
      </c>
      <c r="B202" s="888"/>
      <c r="C202" s="888"/>
      <c r="D202" s="889"/>
      <c r="E202" s="291" t="s">
        <v>51</v>
      </c>
      <c r="F202" s="291" t="s">
        <v>111</v>
      </c>
      <c r="G202" s="307">
        <v>6497.19</v>
      </c>
      <c r="H202" s="887" t="s">
        <v>931</v>
      </c>
      <c r="I202" s="888"/>
      <c r="J202" s="888"/>
      <c r="K202" s="889"/>
      <c r="L202" s="221">
        <f>COUNTBLANK(E202:K202)</f>
        <v>3</v>
      </c>
      <c r="M202" s="221" t="str">
        <f>IF(AND(A202&lt;&gt;"",L202&gt;3),"No","Yes")</f>
        <v>Yes</v>
      </c>
      <c r="N202" s="221" t="str">
        <f>CONCATENATE(E202,F202)</f>
        <v>Support ServicesParent Involvement</v>
      </c>
    </row>
    <row r="203" spans="1:55" s="221" customFormat="1" ht="15" customHeight="1" x14ac:dyDescent="0.2">
      <c r="A203" s="887" t="s">
        <v>817</v>
      </c>
      <c r="B203" s="888"/>
      <c r="C203" s="888"/>
      <c r="D203" s="889"/>
      <c r="E203" s="291" t="s">
        <v>51</v>
      </c>
      <c r="F203" s="291" t="s">
        <v>111</v>
      </c>
      <c r="G203" s="307">
        <v>21500.77</v>
      </c>
      <c r="H203" s="887" t="s">
        <v>816</v>
      </c>
      <c r="I203" s="888"/>
      <c r="J203" s="888"/>
      <c r="K203" s="889"/>
      <c r="L203" s="221">
        <f t="shared" ref="L203:L222" si="32">COUNTBLANK(E203:K203)</f>
        <v>3</v>
      </c>
      <c r="M203" s="221" t="str">
        <f t="shared" ref="M203:M222" si="33">IF(AND(A203&lt;&gt;"",L203&gt;3),"No","Yes")</f>
        <v>Yes</v>
      </c>
      <c r="N203" s="221" t="str">
        <f t="shared" ref="N203:N222" si="34">CONCATENATE(E203,F203)</f>
        <v>Support ServicesParent Involvement</v>
      </c>
    </row>
    <row r="204" spans="1:55" s="61" customFormat="1" ht="15" customHeight="1" x14ac:dyDescent="0.2">
      <c r="A204" s="884" t="s">
        <v>817</v>
      </c>
      <c r="B204" s="885"/>
      <c r="C204" s="885"/>
      <c r="D204" s="886"/>
      <c r="E204" s="194" t="s">
        <v>50</v>
      </c>
      <c r="F204" s="194" t="s">
        <v>108</v>
      </c>
      <c r="G204" s="195">
        <v>990021</v>
      </c>
      <c r="H204" s="884" t="s">
        <v>818</v>
      </c>
      <c r="I204" s="885"/>
      <c r="J204" s="885"/>
      <c r="K204" s="886"/>
      <c r="L204" s="61">
        <f t="shared" si="32"/>
        <v>3</v>
      </c>
      <c r="M204" s="61" t="str">
        <f t="shared" si="33"/>
        <v>Yes</v>
      </c>
      <c r="N204" s="61" t="str">
        <f t="shared" si="34"/>
        <v>InstructionEquitable Services</v>
      </c>
    </row>
    <row r="205" spans="1:55" s="61" customFormat="1" ht="15" customHeight="1" x14ac:dyDescent="0.2">
      <c r="A205" s="907" t="s">
        <v>1091</v>
      </c>
      <c r="B205" s="909"/>
      <c r="C205" s="909"/>
      <c r="D205" s="908"/>
      <c r="E205" s="194" t="s">
        <v>50</v>
      </c>
      <c r="F205" s="194" t="s">
        <v>108</v>
      </c>
      <c r="G205" s="195">
        <v>451965.63</v>
      </c>
      <c r="H205" s="884" t="s">
        <v>818</v>
      </c>
      <c r="I205" s="885"/>
      <c r="J205" s="885"/>
      <c r="K205" s="886"/>
      <c r="L205" s="61">
        <f t="shared" si="32"/>
        <v>3</v>
      </c>
      <c r="M205" s="61" t="str">
        <f t="shared" si="33"/>
        <v>Yes</v>
      </c>
      <c r="N205" s="61" t="str">
        <f t="shared" si="34"/>
        <v>InstructionEquitable Services</v>
      </c>
    </row>
    <row r="206" spans="1:55" s="61" customFormat="1" ht="15" customHeight="1" x14ac:dyDescent="0.2">
      <c r="A206" s="884" t="s">
        <v>819</v>
      </c>
      <c r="B206" s="885"/>
      <c r="C206" s="885"/>
      <c r="D206" s="886"/>
      <c r="E206" s="194" t="s">
        <v>51</v>
      </c>
      <c r="F206" s="194" t="s">
        <v>108</v>
      </c>
      <c r="G206" s="195">
        <v>42090.53</v>
      </c>
      <c r="H206" s="884" t="s">
        <v>913</v>
      </c>
      <c r="I206" s="885"/>
      <c r="J206" s="885"/>
      <c r="K206" s="886"/>
      <c r="L206" s="61">
        <f t="shared" si="32"/>
        <v>3</v>
      </c>
      <c r="M206" s="61" t="str">
        <f t="shared" si="33"/>
        <v>Yes</v>
      </c>
      <c r="N206" s="61" t="str">
        <f t="shared" si="34"/>
        <v>Support ServicesEquitable Services</v>
      </c>
    </row>
    <row r="207" spans="1:55" s="61" customFormat="1" ht="15" customHeight="1" x14ac:dyDescent="0.2">
      <c r="A207" s="884" t="s">
        <v>820</v>
      </c>
      <c r="B207" s="885"/>
      <c r="C207" s="885"/>
      <c r="D207" s="886"/>
      <c r="E207" s="194" t="s">
        <v>94</v>
      </c>
      <c r="F207" s="194" t="s">
        <v>108</v>
      </c>
      <c r="G207" s="195">
        <v>248563</v>
      </c>
      <c r="H207" s="884" t="s">
        <v>1041</v>
      </c>
      <c r="I207" s="885"/>
      <c r="J207" s="885"/>
      <c r="K207" s="886"/>
      <c r="L207" s="61">
        <f t="shared" si="32"/>
        <v>3</v>
      </c>
      <c r="M207" s="61" t="str">
        <f t="shared" si="33"/>
        <v>Yes</v>
      </c>
      <c r="N207" s="61" t="str">
        <f t="shared" si="34"/>
        <v>AdministrationEquitable Services</v>
      </c>
    </row>
    <row r="208" spans="1:55" s="61" customFormat="1" ht="15" customHeight="1" x14ac:dyDescent="0.2">
      <c r="A208" s="236" t="s">
        <v>1039</v>
      </c>
      <c r="B208" s="237"/>
      <c r="C208" s="237"/>
      <c r="D208" s="238"/>
      <c r="E208" s="194" t="s">
        <v>94</v>
      </c>
      <c r="F208" s="194" t="s">
        <v>108</v>
      </c>
      <c r="G208" s="195">
        <v>150000</v>
      </c>
      <c r="H208" s="236" t="s">
        <v>1040</v>
      </c>
      <c r="I208" s="237"/>
      <c r="J208" s="237"/>
      <c r="K208" s="238"/>
      <c r="L208" s="61">
        <f t="shared" si="32"/>
        <v>3</v>
      </c>
      <c r="M208" s="61" t="str">
        <f t="shared" si="33"/>
        <v>Yes</v>
      </c>
      <c r="N208" s="61" t="str">
        <f t="shared" si="34"/>
        <v>AdministrationEquitable Services</v>
      </c>
    </row>
    <row r="209" spans="1:14" ht="15" customHeight="1" x14ac:dyDescent="0.2">
      <c r="A209" s="914" t="s">
        <v>953</v>
      </c>
      <c r="B209" s="915"/>
      <c r="C209" s="915"/>
      <c r="D209" s="916"/>
      <c r="E209" s="27" t="s">
        <v>95</v>
      </c>
      <c r="F209" s="27" t="s">
        <v>360</v>
      </c>
      <c r="G209" s="29">
        <v>847500</v>
      </c>
      <c r="H209" s="914" t="s">
        <v>952</v>
      </c>
      <c r="I209" s="915"/>
      <c r="J209" s="915"/>
      <c r="K209" s="916"/>
      <c r="L209" s="61">
        <f t="shared" si="32"/>
        <v>3</v>
      </c>
      <c r="M209" s="61" t="str">
        <f t="shared" si="33"/>
        <v>Yes</v>
      </c>
      <c r="N209" s="61" t="str">
        <f t="shared" si="34"/>
        <v>Student TransportationNON SETASIDE</v>
      </c>
    </row>
    <row r="210" spans="1:14" s="61" customFormat="1" ht="15" customHeight="1" x14ac:dyDescent="0.2">
      <c r="A210" s="907" t="s">
        <v>903</v>
      </c>
      <c r="B210" s="909"/>
      <c r="C210" s="909"/>
      <c r="D210" s="908"/>
      <c r="E210" s="194" t="s">
        <v>94</v>
      </c>
      <c r="F210" s="194" t="s">
        <v>360</v>
      </c>
      <c r="G210" s="195">
        <v>40000</v>
      </c>
      <c r="H210" s="907" t="s">
        <v>904</v>
      </c>
      <c r="I210" s="909"/>
      <c r="J210" s="909"/>
      <c r="K210" s="908"/>
      <c r="L210" s="61">
        <f t="shared" si="32"/>
        <v>3</v>
      </c>
      <c r="M210" s="61" t="str">
        <f t="shared" si="33"/>
        <v>Yes</v>
      </c>
      <c r="N210" s="61" t="str">
        <f t="shared" si="34"/>
        <v>AdministrationNON SETASIDE</v>
      </c>
    </row>
    <row r="211" spans="1:14" ht="15" customHeight="1" x14ac:dyDescent="0.2">
      <c r="A211" s="215" t="s">
        <v>905</v>
      </c>
      <c r="B211" s="216"/>
      <c r="C211" s="216"/>
      <c r="D211" s="217"/>
      <c r="E211" s="27" t="s">
        <v>94</v>
      </c>
      <c r="F211" s="27" t="s">
        <v>360</v>
      </c>
      <c r="G211" s="29">
        <f>28000+307.54</f>
        <v>28307.54</v>
      </c>
      <c r="H211" s="914" t="s">
        <v>906</v>
      </c>
      <c r="I211" s="915"/>
      <c r="J211" s="915"/>
      <c r="K211" s="916"/>
      <c r="L211" s="61">
        <f t="shared" si="32"/>
        <v>3</v>
      </c>
      <c r="M211" s="61" t="str">
        <f t="shared" si="33"/>
        <v>Yes</v>
      </c>
      <c r="N211" s="61" t="str">
        <f t="shared" si="34"/>
        <v>AdministrationNON SETASIDE</v>
      </c>
    </row>
    <row r="212" spans="1:14" ht="11.25" customHeight="1" x14ac:dyDescent="0.2">
      <c r="A212" s="914" t="s">
        <v>1097</v>
      </c>
      <c r="B212" s="915"/>
      <c r="C212" s="915"/>
      <c r="D212" s="916"/>
      <c r="E212" s="27" t="s">
        <v>94</v>
      </c>
      <c r="F212" s="27" t="s">
        <v>360</v>
      </c>
      <c r="G212" s="29">
        <v>230907</v>
      </c>
      <c r="H212" s="914" t="s">
        <v>907</v>
      </c>
      <c r="I212" s="915"/>
      <c r="J212" s="915"/>
      <c r="K212" s="916"/>
      <c r="L212" s="61">
        <f t="shared" si="32"/>
        <v>3</v>
      </c>
      <c r="M212" s="61" t="str">
        <f t="shared" si="33"/>
        <v>Yes</v>
      </c>
      <c r="N212" s="61" t="str">
        <f t="shared" si="34"/>
        <v>AdministrationNON SETASIDE</v>
      </c>
    </row>
    <row r="213" spans="1:14" s="61" customFormat="1" ht="15" customHeight="1" x14ac:dyDescent="0.2">
      <c r="A213" s="884" t="s">
        <v>821</v>
      </c>
      <c r="B213" s="885"/>
      <c r="C213" s="885"/>
      <c r="D213" s="886"/>
      <c r="E213" s="194" t="s">
        <v>51</v>
      </c>
      <c r="F213" s="194" t="s">
        <v>107</v>
      </c>
      <c r="G213" s="195">
        <v>10000</v>
      </c>
      <c r="H213" s="884" t="s">
        <v>822</v>
      </c>
      <c r="I213" s="885"/>
      <c r="J213" s="885"/>
      <c r="K213" s="886"/>
      <c r="L213" s="61">
        <f t="shared" si="32"/>
        <v>3</v>
      </c>
      <c r="M213" s="61" t="str">
        <f t="shared" si="33"/>
        <v>Yes</v>
      </c>
      <c r="N213" s="61" t="str">
        <f t="shared" si="34"/>
        <v>Support ServicesHomeless</v>
      </c>
    </row>
    <row r="214" spans="1:14" s="61" customFormat="1" ht="15" customHeight="1" x14ac:dyDescent="0.2">
      <c r="A214" s="884" t="s">
        <v>823</v>
      </c>
      <c r="B214" s="885"/>
      <c r="C214" s="885"/>
      <c r="D214" s="886"/>
      <c r="E214" s="194" t="s">
        <v>51</v>
      </c>
      <c r="F214" s="194" t="s">
        <v>107</v>
      </c>
      <c r="G214" s="195">
        <v>7500</v>
      </c>
      <c r="H214" s="884" t="s">
        <v>1088</v>
      </c>
      <c r="I214" s="885"/>
      <c r="J214" s="885"/>
      <c r="K214" s="886"/>
      <c r="L214" s="61">
        <f t="shared" si="32"/>
        <v>3</v>
      </c>
      <c r="M214" s="61" t="str">
        <f t="shared" si="33"/>
        <v>Yes</v>
      </c>
      <c r="N214" s="61" t="str">
        <f t="shared" si="34"/>
        <v>Support ServicesHomeless</v>
      </c>
    </row>
    <row r="215" spans="1:14" s="61" customFormat="1" ht="15" customHeight="1" x14ac:dyDescent="0.2">
      <c r="A215" s="884" t="s">
        <v>949</v>
      </c>
      <c r="B215" s="885"/>
      <c r="C215" s="885"/>
      <c r="D215" s="886"/>
      <c r="E215" s="194" t="s">
        <v>51</v>
      </c>
      <c r="F215" s="194" t="s">
        <v>107</v>
      </c>
      <c r="G215" s="195">
        <v>9100</v>
      </c>
      <c r="H215" s="884" t="s">
        <v>950</v>
      </c>
      <c r="I215" s="885"/>
      <c r="J215" s="885"/>
      <c r="K215" s="886"/>
      <c r="L215" s="61">
        <f t="shared" si="32"/>
        <v>3</v>
      </c>
      <c r="M215" s="61" t="str">
        <f t="shared" si="33"/>
        <v>Yes</v>
      </c>
      <c r="N215" s="61" t="str">
        <f t="shared" si="34"/>
        <v>Support ServicesHomeless</v>
      </c>
    </row>
    <row r="216" spans="1:14" s="61" customFormat="1" ht="15" customHeight="1" x14ac:dyDescent="0.2">
      <c r="A216" s="884" t="s">
        <v>827</v>
      </c>
      <c r="B216" s="885"/>
      <c r="C216" s="885"/>
      <c r="D216" s="886"/>
      <c r="E216" s="194" t="s">
        <v>51</v>
      </c>
      <c r="F216" s="194" t="s">
        <v>107</v>
      </c>
      <c r="G216" s="195">
        <v>10500</v>
      </c>
      <c r="H216" s="884" t="s">
        <v>826</v>
      </c>
      <c r="I216" s="885"/>
      <c r="J216" s="885"/>
      <c r="K216" s="886"/>
      <c r="L216" s="61">
        <f t="shared" si="32"/>
        <v>3</v>
      </c>
      <c r="M216" s="61" t="str">
        <f t="shared" si="33"/>
        <v>Yes</v>
      </c>
      <c r="N216" s="61" t="str">
        <f t="shared" si="34"/>
        <v>Support ServicesHomeless</v>
      </c>
    </row>
    <row r="217" spans="1:14" s="61" customFormat="1" ht="15" customHeight="1" x14ac:dyDescent="0.2">
      <c r="A217" s="884" t="s">
        <v>951</v>
      </c>
      <c r="B217" s="885"/>
      <c r="C217" s="885"/>
      <c r="D217" s="886"/>
      <c r="E217" s="194" t="s">
        <v>51</v>
      </c>
      <c r="F217" s="194" t="s">
        <v>107</v>
      </c>
      <c r="G217" s="195">
        <v>9000</v>
      </c>
      <c r="H217" s="884" t="s">
        <v>828</v>
      </c>
      <c r="I217" s="885"/>
      <c r="J217" s="885"/>
      <c r="K217" s="886"/>
      <c r="L217" s="61">
        <f t="shared" si="32"/>
        <v>3</v>
      </c>
      <c r="M217" s="61" t="str">
        <f t="shared" si="33"/>
        <v>Yes</v>
      </c>
      <c r="N217" s="61" t="str">
        <f t="shared" si="34"/>
        <v>Support ServicesHomeless</v>
      </c>
    </row>
    <row r="218" spans="1:14" s="61" customFormat="1" ht="15" customHeight="1" x14ac:dyDescent="0.2">
      <c r="A218" s="907" t="s">
        <v>935</v>
      </c>
      <c r="B218" s="909"/>
      <c r="C218" s="909"/>
      <c r="D218" s="908"/>
      <c r="E218" s="194" t="s">
        <v>50</v>
      </c>
      <c r="F218" s="194" t="s">
        <v>360</v>
      </c>
      <c r="G218" s="195">
        <v>60000</v>
      </c>
      <c r="H218" s="907" t="s">
        <v>936</v>
      </c>
      <c r="I218" s="909"/>
      <c r="J218" s="909"/>
      <c r="K218" s="908"/>
      <c r="L218" s="61">
        <f t="shared" si="32"/>
        <v>3</v>
      </c>
      <c r="M218" s="61" t="str">
        <f t="shared" si="33"/>
        <v>Yes</v>
      </c>
      <c r="N218" s="61" t="str">
        <f t="shared" si="34"/>
        <v>InstructionNON SETASIDE</v>
      </c>
    </row>
    <row r="219" spans="1:14" s="61" customFormat="1" ht="15" customHeight="1" x14ac:dyDescent="0.2">
      <c r="A219" s="907" t="s">
        <v>937</v>
      </c>
      <c r="B219" s="909"/>
      <c r="C219" s="909"/>
      <c r="D219" s="908"/>
      <c r="E219" s="194" t="s">
        <v>50</v>
      </c>
      <c r="F219" s="194" t="s">
        <v>360</v>
      </c>
      <c r="G219" s="195">
        <v>41639.589999999997</v>
      </c>
      <c r="H219" s="907" t="s">
        <v>938</v>
      </c>
      <c r="I219" s="909"/>
      <c r="J219" s="909"/>
      <c r="K219" s="908"/>
      <c r="L219" s="61">
        <f t="shared" si="32"/>
        <v>3</v>
      </c>
      <c r="M219" s="61" t="str">
        <f t="shared" si="33"/>
        <v>Yes</v>
      </c>
      <c r="N219" s="61" t="str">
        <f t="shared" si="34"/>
        <v>InstructionNON SETASIDE</v>
      </c>
    </row>
    <row r="220" spans="1:14" s="295" customFormat="1" ht="15" customHeight="1" x14ac:dyDescent="0.2">
      <c r="A220" s="917" t="s">
        <v>946</v>
      </c>
      <c r="B220" s="918"/>
      <c r="C220" s="918"/>
      <c r="D220" s="919"/>
      <c r="E220" s="293" t="s">
        <v>50</v>
      </c>
      <c r="F220" s="293" t="s">
        <v>360</v>
      </c>
      <c r="G220" s="294">
        <f>229353.83-29677.44</f>
        <v>199676.38999999998</v>
      </c>
      <c r="H220" s="917" t="s">
        <v>947</v>
      </c>
      <c r="I220" s="918"/>
      <c r="J220" s="918"/>
      <c r="K220" s="919"/>
      <c r="L220" s="295">
        <f t="shared" si="32"/>
        <v>3</v>
      </c>
      <c r="M220" s="295" t="str">
        <f t="shared" si="33"/>
        <v>Yes</v>
      </c>
      <c r="N220" s="295" t="str">
        <f t="shared" si="34"/>
        <v>InstructionNON SETASIDE</v>
      </c>
    </row>
    <row r="221" spans="1:14" s="61" customFormat="1" ht="15" customHeight="1" x14ac:dyDescent="0.2">
      <c r="A221" s="884" t="s">
        <v>908</v>
      </c>
      <c r="B221" s="885"/>
      <c r="C221" s="885"/>
      <c r="D221" s="886"/>
      <c r="E221" s="194" t="s">
        <v>51</v>
      </c>
      <c r="F221" s="194" t="s">
        <v>110</v>
      </c>
      <c r="G221" s="195">
        <v>10000</v>
      </c>
      <c r="H221" s="884" t="s">
        <v>1055</v>
      </c>
      <c r="I221" s="885"/>
      <c r="J221" s="885"/>
      <c r="K221" s="886"/>
      <c r="L221" s="61">
        <f t="shared" si="32"/>
        <v>3</v>
      </c>
      <c r="M221" s="61" t="str">
        <f t="shared" si="33"/>
        <v>Yes</v>
      </c>
      <c r="N221" s="61" t="str">
        <f t="shared" si="34"/>
        <v>Support ServicesNeg. &amp; Delinquent</v>
      </c>
    </row>
    <row r="222" spans="1:14" s="61" customFormat="1" ht="15" customHeight="1" x14ac:dyDescent="0.2">
      <c r="A222" s="884" t="s">
        <v>908</v>
      </c>
      <c r="B222" s="885"/>
      <c r="C222" s="885"/>
      <c r="D222" s="886"/>
      <c r="E222" s="194" t="s">
        <v>50</v>
      </c>
      <c r="F222" s="194" t="s">
        <v>110</v>
      </c>
      <c r="G222" s="195">
        <v>17183</v>
      </c>
      <c r="H222" s="884" t="s">
        <v>1125</v>
      </c>
      <c r="I222" s="885"/>
      <c r="J222" s="885"/>
      <c r="K222" s="886"/>
      <c r="L222" s="61">
        <f t="shared" si="32"/>
        <v>3</v>
      </c>
      <c r="M222" s="61" t="str">
        <f t="shared" si="33"/>
        <v>Yes</v>
      </c>
      <c r="N222" s="61" t="str">
        <f t="shared" si="34"/>
        <v>InstructionNeg. &amp; Delinquent</v>
      </c>
    </row>
    <row r="223" spans="1:14" s="61" customFormat="1" ht="15" customHeight="1" x14ac:dyDescent="0.2">
      <c r="A223" s="884" t="s">
        <v>908</v>
      </c>
      <c r="B223" s="885"/>
      <c r="C223" s="885"/>
      <c r="D223" s="886"/>
      <c r="E223" s="194" t="s">
        <v>50</v>
      </c>
      <c r="F223" s="194" t="s">
        <v>110</v>
      </c>
      <c r="G223" s="195">
        <v>5450</v>
      </c>
      <c r="H223" s="884" t="s">
        <v>1126</v>
      </c>
      <c r="I223" s="885"/>
      <c r="J223" s="885"/>
      <c r="K223" s="886"/>
      <c r="L223" s="61">
        <f t="shared" ref="L223:L224" si="35">COUNTBLANK(E223:K223)</f>
        <v>3</v>
      </c>
      <c r="M223" s="61" t="str">
        <f t="shared" ref="M223:M224" si="36">IF(AND(A223&lt;&gt;"",L223&gt;3),"No","Yes")</f>
        <v>Yes</v>
      </c>
      <c r="N223" s="61" t="str">
        <f t="shared" ref="N223:N224" si="37">CONCATENATE(E223,F223)</f>
        <v>InstructionNeg. &amp; Delinquent</v>
      </c>
    </row>
    <row r="224" spans="1:14" s="61" customFormat="1" ht="15" customHeight="1" x14ac:dyDescent="0.2">
      <c r="A224" s="884" t="s">
        <v>908</v>
      </c>
      <c r="B224" s="885"/>
      <c r="C224" s="885"/>
      <c r="D224" s="886"/>
      <c r="E224" s="194" t="s">
        <v>51</v>
      </c>
      <c r="F224" s="194" t="s">
        <v>110</v>
      </c>
      <c r="G224" s="195">
        <v>12500</v>
      </c>
      <c r="H224" s="256" t="s">
        <v>1127</v>
      </c>
      <c r="I224" s="257"/>
      <c r="J224" s="257"/>
      <c r="K224" s="258"/>
      <c r="L224" s="61">
        <f t="shared" si="35"/>
        <v>3</v>
      </c>
      <c r="M224" s="61" t="str">
        <f t="shared" si="36"/>
        <v>Yes</v>
      </c>
      <c r="N224" s="61" t="str">
        <f t="shared" si="37"/>
        <v>Support ServicesNeg. &amp; Delinquent</v>
      </c>
    </row>
    <row r="225" spans="1:14" s="61" customFormat="1" ht="15" customHeight="1" x14ac:dyDescent="0.2">
      <c r="A225" s="884" t="s">
        <v>908</v>
      </c>
      <c r="B225" s="885"/>
      <c r="C225" s="885"/>
      <c r="D225" s="886"/>
      <c r="E225" s="194" t="s">
        <v>50</v>
      </c>
      <c r="F225" s="194" t="s">
        <v>110</v>
      </c>
      <c r="G225" s="195">
        <v>1275</v>
      </c>
      <c r="H225" s="884" t="s">
        <v>1128</v>
      </c>
      <c r="I225" s="885"/>
      <c r="J225" s="885"/>
      <c r="K225" s="886"/>
      <c r="L225" s="61">
        <f t="shared" ref="L225:L227" si="38">COUNTBLANK(E225:K225)</f>
        <v>3</v>
      </c>
      <c r="M225" s="61" t="str">
        <f t="shared" ref="M225:M227" si="39">IF(AND(A225&lt;&gt;"",L225&gt;3),"No","Yes")</f>
        <v>Yes</v>
      </c>
      <c r="N225" s="61" t="str">
        <f t="shared" ref="N225:N227" si="40">CONCATENATE(E225,F225)</f>
        <v>InstructionNeg. &amp; Delinquent</v>
      </c>
    </row>
    <row r="226" spans="1:14" s="61" customFormat="1" ht="15" customHeight="1" x14ac:dyDescent="0.2">
      <c r="A226" s="884" t="s">
        <v>908</v>
      </c>
      <c r="B226" s="885"/>
      <c r="C226" s="885"/>
      <c r="D226" s="886"/>
      <c r="E226" s="194" t="s">
        <v>51</v>
      </c>
      <c r="F226" s="194" t="s">
        <v>110</v>
      </c>
      <c r="G226" s="195">
        <v>3000</v>
      </c>
      <c r="H226" s="884" t="s">
        <v>1129</v>
      </c>
      <c r="I226" s="885"/>
      <c r="J226" s="885"/>
      <c r="K226" s="886"/>
      <c r="L226" s="61">
        <f t="shared" si="38"/>
        <v>3</v>
      </c>
      <c r="M226" s="61" t="str">
        <f t="shared" si="39"/>
        <v>Yes</v>
      </c>
      <c r="N226" s="61" t="str">
        <f t="shared" si="40"/>
        <v>Support ServicesNeg. &amp; Delinquent</v>
      </c>
    </row>
    <row r="227" spans="1:14" s="61" customFormat="1" ht="15" customHeight="1" x14ac:dyDescent="0.2">
      <c r="A227" s="884" t="s">
        <v>908</v>
      </c>
      <c r="B227" s="885"/>
      <c r="C227" s="885"/>
      <c r="D227" s="886"/>
      <c r="E227" s="194" t="s">
        <v>51</v>
      </c>
      <c r="F227" s="194" t="s">
        <v>110</v>
      </c>
      <c r="G227" s="195">
        <v>1000</v>
      </c>
      <c r="H227" s="884" t="s">
        <v>1130</v>
      </c>
      <c r="I227" s="885"/>
      <c r="J227" s="885"/>
      <c r="K227" s="886"/>
      <c r="L227" s="61">
        <f t="shared" si="38"/>
        <v>3</v>
      </c>
      <c r="M227" s="61" t="str">
        <f t="shared" si="39"/>
        <v>Yes</v>
      </c>
      <c r="N227" s="61" t="str">
        <f t="shared" si="40"/>
        <v>Support ServicesNeg. &amp; Delinquent</v>
      </c>
    </row>
    <row r="228" spans="1:14" s="61" customFormat="1" ht="15" customHeight="1" x14ac:dyDescent="0.2">
      <c r="A228" s="884" t="s">
        <v>910</v>
      </c>
      <c r="B228" s="885"/>
      <c r="C228" s="885"/>
      <c r="D228" s="886"/>
      <c r="E228" s="194" t="s">
        <v>51</v>
      </c>
      <c r="F228" s="194" t="s">
        <v>110</v>
      </c>
      <c r="G228" s="195">
        <v>13880</v>
      </c>
      <c r="H228" s="296" t="s">
        <v>1146</v>
      </c>
      <c r="I228" s="297"/>
      <c r="J228" s="297"/>
      <c r="K228" s="298"/>
      <c r="L228" s="61">
        <f t="shared" ref="L228" si="41">COUNTBLANK(E228:K228)</f>
        <v>3</v>
      </c>
      <c r="M228" s="61" t="str">
        <f t="shared" ref="M228" si="42">IF(AND(A228&lt;&gt;"",L228&gt;3),"No","Yes")</f>
        <v>Yes</v>
      </c>
      <c r="N228" s="61" t="str">
        <f t="shared" ref="N228" si="43">CONCATENATE(E228,F228)</f>
        <v>Support ServicesNeg. &amp; Delinquent</v>
      </c>
    </row>
    <row r="229" spans="1:14" s="61" customFormat="1" ht="15" customHeight="1" x14ac:dyDescent="0.2">
      <c r="A229" s="884"/>
      <c r="B229" s="885"/>
      <c r="C229" s="885"/>
      <c r="D229" s="886"/>
      <c r="E229" s="194"/>
      <c r="F229" s="194"/>
      <c r="G229" s="195"/>
      <c r="H229" s="884"/>
      <c r="I229" s="885"/>
      <c r="J229" s="885"/>
      <c r="K229" s="886"/>
      <c r="L229" s="61">
        <f t="shared" ref="L229" si="44">COUNTBLANK(E229:K229)</f>
        <v>7</v>
      </c>
      <c r="M229" s="61" t="str">
        <f t="shared" ref="M229" si="45">IF(AND(A229&lt;&gt;"",L229&gt;3),"No","Yes")</f>
        <v>Yes</v>
      </c>
      <c r="N229" s="61" t="str">
        <f t="shared" ref="N229" si="46">CONCATENATE(E229,F229)</f>
        <v/>
      </c>
    </row>
    <row r="230" spans="1:14" x14ac:dyDescent="0.2">
      <c r="A230" s="898" t="s">
        <v>98</v>
      </c>
      <c r="B230" s="786"/>
      <c r="C230" s="786"/>
      <c r="D230" s="786"/>
      <c r="E230" s="786"/>
      <c r="F230" s="787"/>
      <c r="G230" s="788">
        <f>SUM(G200:G229)</f>
        <v>5017130.6399999987</v>
      </c>
      <c r="H230" s="789"/>
      <c r="I230" s="789"/>
      <c r="J230" s="789"/>
      <c r="K230" s="897"/>
      <c r="M230" s="1">
        <f>COUNTIF(M198:M229,"Yes")</f>
        <v>30</v>
      </c>
    </row>
    <row r="231" spans="1:14" ht="15" x14ac:dyDescent="0.2">
      <c r="A231" s="895"/>
      <c r="B231" s="811"/>
      <c r="C231" s="811"/>
      <c r="D231" s="811"/>
      <c r="E231" s="811"/>
      <c r="F231" s="811"/>
      <c r="G231" s="811"/>
      <c r="H231" s="811"/>
      <c r="I231" s="811"/>
      <c r="J231" s="811"/>
      <c r="K231" s="896"/>
    </row>
    <row r="232" spans="1:14" ht="15" x14ac:dyDescent="0.2">
      <c r="A232" s="899" t="s">
        <v>477</v>
      </c>
      <c r="B232" s="783"/>
      <c r="C232" s="783"/>
      <c r="D232" s="783"/>
      <c r="E232" s="783"/>
      <c r="F232" s="783"/>
      <c r="G232" s="783"/>
      <c r="H232" s="783"/>
      <c r="I232" s="783"/>
      <c r="J232" s="783"/>
      <c r="K232" s="900"/>
    </row>
    <row r="233" spans="1:14" ht="15" x14ac:dyDescent="0.2">
      <c r="A233" s="899" t="s">
        <v>478</v>
      </c>
      <c r="B233" s="783"/>
      <c r="C233" s="783"/>
      <c r="D233" s="783"/>
      <c r="E233" s="783"/>
      <c r="F233" s="783"/>
      <c r="G233" s="783"/>
      <c r="H233" s="783"/>
      <c r="I233" s="783"/>
      <c r="J233" s="783"/>
      <c r="K233" s="900"/>
    </row>
    <row r="234" spans="1:14" x14ac:dyDescent="0.2">
      <c r="A234" s="804" t="s">
        <v>49</v>
      </c>
      <c r="B234" s="792"/>
      <c r="C234" s="792"/>
      <c r="D234" s="793"/>
      <c r="E234" s="800" t="s">
        <v>43</v>
      </c>
      <c r="F234" s="800" t="s">
        <v>118</v>
      </c>
      <c r="G234" s="803" t="s">
        <v>104</v>
      </c>
      <c r="H234" s="804" t="s">
        <v>53</v>
      </c>
      <c r="I234" s="792"/>
      <c r="J234" s="792"/>
      <c r="K234" s="793"/>
    </row>
    <row r="235" spans="1:14" x14ac:dyDescent="0.2">
      <c r="A235" s="806"/>
      <c r="B235" s="795"/>
      <c r="C235" s="795"/>
      <c r="D235" s="796"/>
      <c r="E235" s="801"/>
      <c r="F235" s="801"/>
      <c r="G235" s="801"/>
      <c r="H235" s="806"/>
      <c r="I235" s="795"/>
      <c r="J235" s="795"/>
      <c r="K235" s="796"/>
    </row>
    <row r="236" spans="1:14" x14ac:dyDescent="0.2">
      <c r="A236" s="806"/>
      <c r="B236" s="795"/>
      <c r="C236" s="795"/>
      <c r="D236" s="796"/>
      <c r="E236" s="801"/>
      <c r="F236" s="801"/>
      <c r="G236" s="801"/>
      <c r="H236" s="806"/>
      <c r="I236" s="795"/>
      <c r="J236" s="795"/>
      <c r="K236" s="796"/>
    </row>
    <row r="237" spans="1:14" x14ac:dyDescent="0.2">
      <c r="A237" s="806"/>
      <c r="B237" s="795"/>
      <c r="C237" s="795"/>
      <c r="D237" s="796"/>
      <c r="E237" s="801"/>
      <c r="F237" s="801"/>
      <c r="G237" s="801"/>
      <c r="H237" s="806"/>
      <c r="I237" s="795"/>
      <c r="J237" s="795"/>
      <c r="K237" s="796"/>
    </row>
    <row r="238" spans="1:14" x14ac:dyDescent="0.2">
      <c r="A238" s="806"/>
      <c r="B238" s="795"/>
      <c r="C238" s="795"/>
      <c r="D238" s="796"/>
      <c r="E238" s="801"/>
      <c r="F238" s="801"/>
      <c r="G238" s="801"/>
      <c r="H238" s="806"/>
      <c r="I238" s="795"/>
      <c r="J238" s="795"/>
      <c r="K238" s="796"/>
    </row>
    <row r="239" spans="1:14" x14ac:dyDescent="0.2">
      <c r="A239" s="808"/>
      <c r="B239" s="798"/>
      <c r="C239" s="798"/>
      <c r="D239" s="799"/>
      <c r="E239" s="802"/>
      <c r="F239" s="802"/>
      <c r="G239" s="802"/>
      <c r="H239" s="808"/>
      <c r="I239" s="798"/>
      <c r="J239" s="798"/>
      <c r="K239" s="799"/>
    </row>
    <row r="240" spans="1:14" x14ac:dyDescent="0.2">
      <c r="A240" s="890"/>
      <c r="B240" s="910"/>
      <c r="C240" s="910"/>
      <c r="D240" s="891"/>
      <c r="E240" s="27"/>
      <c r="F240" s="27"/>
      <c r="G240" s="29"/>
      <c r="H240" s="771"/>
      <c r="I240" s="772"/>
      <c r="J240" s="772"/>
      <c r="K240" s="775"/>
      <c r="L240" s="1">
        <f t="shared" ref="L240:L245" si="47">COUNTBLANK(E240:K240)</f>
        <v>7</v>
      </c>
      <c r="M240" s="1" t="str">
        <f t="shared" ref="M240:M245" si="48">IF(AND(A240&lt;&gt;"",L240&gt;3),"No","Yes")</f>
        <v>Yes</v>
      </c>
    </row>
    <row r="241" spans="1:14" x14ac:dyDescent="0.2">
      <c r="A241" s="890"/>
      <c r="B241" s="910"/>
      <c r="C241" s="910"/>
      <c r="D241" s="891"/>
      <c r="E241" s="27"/>
      <c r="F241" s="27"/>
      <c r="G241" s="29"/>
      <c r="H241" s="771"/>
      <c r="I241" s="772"/>
      <c r="J241" s="772"/>
      <c r="K241" s="775"/>
      <c r="L241" s="1">
        <f t="shared" si="47"/>
        <v>7</v>
      </c>
      <c r="M241" s="1" t="str">
        <f t="shared" si="48"/>
        <v>Yes</v>
      </c>
    </row>
    <row r="242" spans="1:14" s="198" customFormat="1" x14ac:dyDescent="0.2">
      <c r="A242" s="878"/>
      <c r="B242" s="879"/>
      <c r="C242" s="879"/>
      <c r="D242" s="880"/>
      <c r="E242" s="196"/>
      <c r="F242" s="196"/>
      <c r="G242" s="197"/>
      <c r="H242" s="878"/>
      <c r="I242" s="879"/>
      <c r="J242" s="879"/>
      <c r="K242" s="880"/>
      <c r="L242" s="1">
        <f t="shared" si="47"/>
        <v>7</v>
      </c>
      <c r="M242" s="1" t="str">
        <f t="shared" si="48"/>
        <v>Yes</v>
      </c>
    </row>
    <row r="243" spans="1:14" s="198" customFormat="1" x14ac:dyDescent="0.2">
      <c r="A243" s="878"/>
      <c r="B243" s="879"/>
      <c r="C243" s="879"/>
      <c r="D243" s="880"/>
      <c r="E243" s="196"/>
      <c r="F243" s="196"/>
      <c r="G243" s="197"/>
      <c r="H243" s="878"/>
      <c r="I243" s="879"/>
      <c r="J243" s="879"/>
      <c r="K243" s="880"/>
      <c r="L243" s="1">
        <f t="shared" si="47"/>
        <v>7</v>
      </c>
      <c r="M243" s="1" t="str">
        <f t="shared" si="48"/>
        <v>Yes</v>
      </c>
    </row>
    <row r="244" spans="1:14" s="198" customFormat="1" x14ac:dyDescent="0.2">
      <c r="A244" s="878"/>
      <c r="B244" s="879"/>
      <c r="C244" s="879"/>
      <c r="D244" s="880"/>
      <c r="E244" s="196"/>
      <c r="F244" s="196"/>
      <c r="G244" s="197"/>
      <c r="H244" s="878"/>
      <c r="I244" s="879"/>
      <c r="J244" s="879"/>
      <c r="K244" s="880"/>
      <c r="L244" s="1">
        <f t="shared" si="47"/>
        <v>7</v>
      </c>
      <c r="M244" s="1" t="str">
        <f t="shared" si="48"/>
        <v>Yes</v>
      </c>
    </row>
    <row r="245" spans="1:14" s="198" customFormat="1" x14ac:dyDescent="0.2">
      <c r="A245" s="878"/>
      <c r="B245" s="879"/>
      <c r="C245" s="879"/>
      <c r="D245" s="880"/>
      <c r="E245" s="196"/>
      <c r="F245" s="196"/>
      <c r="G245" s="197"/>
      <c r="H245" s="878"/>
      <c r="I245" s="879"/>
      <c r="J245" s="879"/>
      <c r="K245" s="880"/>
      <c r="L245" s="1">
        <f t="shared" si="47"/>
        <v>7</v>
      </c>
      <c r="M245" s="1" t="str">
        <f t="shared" si="48"/>
        <v>Yes</v>
      </c>
    </row>
    <row r="246" spans="1:14" x14ac:dyDescent="0.2">
      <c r="A246" s="771"/>
      <c r="B246" s="772"/>
      <c r="C246" s="772"/>
      <c r="D246" s="775"/>
      <c r="E246" s="27"/>
      <c r="F246" s="27"/>
      <c r="G246" s="29"/>
      <c r="H246" s="771"/>
      <c r="I246" s="772"/>
      <c r="J246" s="772"/>
      <c r="K246" s="775"/>
      <c r="L246" s="1">
        <f t="shared" ref="L246:L264" si="49">COUNTBLANK(E246:K246)</f>
        <v>7</v>
      </c>
      <c r="M246" s="1" t="str">
        <f t="shared" ref="M246:M264" si="50">IF(AND(A246&lt;&gt;"",L246&gt;3),"No","Yes")</f>
        <v>Yes</v>
      </c>
      <c r="N246" s="1" t="str">
        <f t="shared" ref="N246:N264" si="51">CONCATENATE(E246,F246)</f>
        <v/>
      </c>
    </row>
    <row r="247" spans="1:14" x14ac:dyDescent="0.2">
      <c r="A247" s="771"/>
      <c r="B247" s="772"/>
      <c r="C247" s="772"/>
      <c r="D247" s="775"/>
      <c r="E247" s="27"/>
      <c r="F247" s="27"/>
      <c r="G247" s="29"/>
      <c r="H247" s="771"/>
      <c r="I247" s="772"/>
      <c r="J247" s="772"/>
      <c r="K247" s="775"/>
      <c r="L247" s="1">
        <f t="shared" si="49"/>
        <v>7</v>
      </c>
      <c r="M247" s="1" t="str">
        <f t="shared" si="50"/>
        <v>Yes</v>
      </c>
      <c r="N247" s="1" t="str">
        <f t="shared" si="51"/>
        <v/>
      </c>
    </row>
    <row r="248" spans="1:14" x14ac:dyDescent="0.2">
      <c r="A248" s="771"/>
      <c r="B248" s="772"/>
      <c r="C248" s="772"/>
      <c r="D248" s="775"/>
      <c r="E248" s="27"/>
      <c r="F248" s="27"/>
      <c r="G248" s="29"/>
      <c r="H248" s="771"/>
      <c r="I248" s="772"/>
      <c r="J248" s="772"/>
      <c r="K248" s="775"/>
      <c r="L248" s="1">
        <f t="shared" si="49"/>
        <v>7</v>
      </c>
      <c r="M248" s="1" t="str">
        <f t="shared" si="50"/>
        <v>Yes</v>
      </c>
      <c r="N248" s="1" t="str">
        <f t="shared" si="51"/>
        <v/>
      </c>
    </row>
    <row r="249" spans="1:14" x14ac:dyDescent="0.2">
      <c r="A249" s="771"/>
      <c r="B249" s="772"/>
      <c r="C249" s="772"/>
      <c r="D249" s="775"/>
      <c r="E249" s="27"/>
      <c r="F249" s="27"/>
      <c r="G249" s="29"/>
      <c r="H249" s="771"/>
      <c r="I249" s="772"/>
      <c r="J249" s="772"/>
      <c r="K249" s="775"/>
      <c r="L249" s="1">
        <f t="shared" si="49"/>
        <v>7</v>
      </c>
      <c r="M249" s="1" t="str">
        <f t="shared" si="50"/>
        <v>Yes</v>
      </c>
      <c r="N249" s="1" t="str">
        <f t="shared" si="51"/>
        <v/>
      </c>
    </row>
    <row r="250" spans="1:14" x14ac:dyDescent="0.2">
      <c r="A250" s="771"/>
      <c r="B250" s="772"/>
      <c r="C250" s="772"/>
      <c r="D250" s="775"/>
      <c r="E250" s="27"/>
      <c r="F250" s="27"/>
      <c r="G250" s="29"/>
      <c r="H250" s="771"/>
      <c r="I250" s="772"/>
      <c r="J250" s="772"/>
      <c r="K250" s="775"/>
      <c r="L250" s="1">
        <f t="shared" si="49"/>
        <v>7</v>
      </c>
      <c r="M250" s="1" t="str">
        <f t="shared" si="50"/>
        <v>Yes</v>
      </c>
      <c r="N250" s="1" t="str">
        <f t="shared" si="51"/>
        <v/>
      </c>
    </row>
    <row r="251" spans="1:14" x14ac:dyDescent="0.2">
      <c r="A251" s="771"/>
      <c r="B251" s="772"/>
      <c r="C251" s="772"/>
      <c r="D251" s="775"/>
      <c r="E251" s="27"/>
      <c r="F251" s="27"/>
      <c r="G251" s="29"/>
      <c r="H251" s="771"/>
      <c r="I251" s="772"/>
      <c r="J251" s="772"/>
      <c r="K251" s="775"/>
      <c r="L251" s="1">
        <f t="shared" si="49"/>
        <v>7</v>
      </c>
      <c r="M251" s="1" t="str">
        <f t="shared" si="50"/>
        <v>Yes</v>
      </c>
      <c r="N251" s="1" t="str">
        <f t="shared" si="51"/>
        <v/>
      </c>
    </row>
    <row r="252" spans="1:14" x14ac:dyDescent="0.2">
      <c r="A252" s="771"/>
      <c r="B252" s="772"/>
      <c r="C252" s="772"/>
      <c r="D252" s="775"/>
      <c r="E252" s="27"/>
      <c r="F252" s="27"/>
      <c r="G252" s="29"/>
      <c r="H252" s="771"/>
      <c r="I252" s="772"/>
      <c r="J252" s="772"/>
      <c r="K252" s="775"/>
      <c r="L252" s="1">
        <f t="shared" si="49"/>
        <v>7</v>
      </c>
      <c r="M252" s="1" t="str">
        <f t="shared" si="50"/>
        <v>Yes</v>
      </c>
      <c r="N252" s="1" t="str">
        <f t="shared" si="51"/>
        <v/>
      </c>
    </row>
    <row r="253" spans="1:14" x14ac:dyDescent="0.2">
      <c r="A253" s="771"/>
      <c r="B253" s="772"/>
      <c r="C253" s="772"/>
      <c r="D253" s="775"/>
      <c r="E253" s="27"/>
      <c r="F253" s="27"/>
      <c r="G253" s="29"/>
      <c r="H253" s="771"/>
      <c r="I253" s="772"/>
      <c r="J253" s="772"/>
      <c r="K253" s="775"/>
      <c r="L253" s="1">
        <f t="shared" si="49"/>
        <v>7</v>
      </c>
      <c r="M253" s="1" t="str">
        <f t="shared" si="50"/>
        <v>Yes</v>
      </c>
      <c r="N253" s="1" t="str">
        <f t="shared" si="51"/>
        <v/>
      </c>
    </row>
    <row r="254" spans="1:14" x14ac:dyDescent="0.2">
      <c r="A254" s="771"/>
      <c r="B254" s="772"/>
      <c r="C254" s="772"/>
      <c r="D254" s="775"/>
      <c r="E254" s="27"/>
      <c r="F254" s="27"/>
      <c r="G254" s="29"/>
      <c r="H254" s="771"/>
      <c r="I254" s="772"/>
      <c r="J254" s="772"/>
      <c r="K254" s="775"/>
      <c r="L254" s="1">
        <f t="shared" si="49"/>
        <v>7</v>
      </c>
      <c r="M254" s="1" t="str">
        <f t="shared" si="50"/>
        <v>Yes</v>
      </c>
      <c r="N254" s="1" t="str">
        <f t="shared" si="51"/>
        <v/>
      </c>
    </row>
    <row r="255" spans="1:14" x14ac:dyDescent="0.2">
      <c r="A255" s="771"/>
      <c r="B255" s="772"/>
      <c r="C255" s="772"/>
      <c r="D255" s="775"/>
      <c r="E255" s="27"/>
      <c r="F255" s="27"/>
      <c r="G255" s="29"/>
      <c r="H255" s="771"/>
      <c r="I255" s="772"/>
      <c r="J255" s="772"/>
      <c r="K255" s="775"/>
      <c r="L255" s="1">
        <f t="shared" si="49"/>
        <v>7</v>
      </c>
      <c r="M255" s="1" t="str">
        <f t="shared" si="50"/>
        <v>Yes</v>
      </c>
      <c r="N255" s="1" t="str">
        <f t="shared" si="51"/>
        <v/>
      </c>
    </row>
    <row r="256" spans="1:14" x14ac:dyDescent="0.2">
      <c r="A256" s="771"/>
      <c r="B256" s="772"/>
      <c r="C256" s="772"/>
      <c r="D256" s="775"/>
      <c r="E256" s="27"/>
      <c r="F256" s="27"/>
      <c r="G256" s="29"/>
      <c r="H256" s="771"/>
      <c r="I256" s="772"/>
      <c r="J256" s="772"/>
      <c r="K256" s="775"/>
      <c r="L256" s="1">
        <f t="shared" si="49"/>
        <v>7</v>
      </c>
      <c r="M256" s="1" t="str">
        <f t="shared" si="50"/>
        <v>Yes</v>
      </c>
      <c r="N256" s="1" t="str">
        <f t="shared" si="51"/>
        <v/>
      </c>
    </row>
    <row r="257" spans="1:14" x14ac:dyDescent="0.2">
      <c r="A257" s="771"/>
      <c r="B257" s="772"/>
      <c r="C257" s="772"/>
      <c r="D257" s="775"/>
      <c r="E257" s="27"/>
      <c r="F257" s="27"/>
      <c r="G257" s="29"/>
      <c r="H257" s="771"/>
      <c r="I257" s="772"/>
      <c r="J257" s="772"/>
      <c r="K257" s="775"/>
      <c r="L257" s="1">
        <f t="shared" si="49"/>
        <v>7</v>
      </c>
      <c r="M257" s="1" t="str">
        <f t="shared" si="50"/>
        <v>Yes</v>
      </c>
      <c r="N257" s="1" t="str">
        <f t="shared" si="51"/>
        <v/>
      </c>
    </row>
    <row r="258" spans="1:14" x14ac:dyDescent="0.2">
      <c r="A258" s="771"/>
      <c r="B258" s="772"/>
      <c r="C258" s="772"/>
      <c r="D258" s="775"/>
      <c r="E258" s="27"/>
      <c r="F258" s="27"/>
      <c r="G258" s="29"/>
      <c r="H258" s="771"/>
      <c r="I258" s="772"/>
      <c r="J258" s="772"/>
      <c r="K258" s="775"/>
      <c r="L258" s="1">
        <f t="shared" si="49"/>
        <v>7</v>
      </c>
      <c r="M258" s="1" t="str">
        <f t="shared" si="50"/>
        <v>Yes</v>
      </c>
      <c r="N258" s="1" t="str">
        <f t="shared" si="51"/>
        <v/>
      </c>
    </row>
    <row r="259" spans="1:14" x14ac:dyDescent="0.2">
      <c r="A259" s="771"/>
      <c r="B259" s="772"/>
      <c r="C259" s="772"/>
      <c r="D259" s="775"/>
      <c r="E259" s="27"/>
      <c r="F259" s="27"/>
      <c r="G259" s="29"/>
      <c r="H259" s="771"/>
      <c r="I259" s="772"/>
      <c r="J259" s="772"/>
      <c r="K259" s="775"/>
      <c r="L259" s="1">
        <f t="shared" si="49"/>
        <v>7</v>
      </c>
      <c r="M259" s="1" t="str">
        <f t="shared" si="50"/>
        <v>Yes</v>
      </c>
      <c r="N259" s="1" t="str">
        <f t="shared" si="51"/>
        <v/>
      </c>
    </row>
    <row r="260" spans="1:14" x14ac:dyDescent="0.2">
      <c r="A260" s="771"/>
      <c r="B260" s="772"/>
      <c r="C260" s="772"/>
      <c r="D260" s="775"/>
      <c r="E260" s="27"/>
      <c r="F260" s="27"/>
      <c r="G260" s="29"/>
      <c r="H260" s="771"/>
      <c r="I260" s="772"/>
      <c r="J260" s="772"/>
      <c r="K260" s="775"/>
      <c r="L260" s="1">
        <f t="shared" si="49"/>
        <v>7</v>
      </c>
      <c r="M260" s="1" t="str">
        <f t="shared" si="50"/>
        <v>Yes</v>
      </c>
      <c r="N260" s="1" t="str">
        <f t="shared" si="51"/>
        <v/>
      </c>
    </row>
    <row r="261" spans="1:14" x14ac:dyDescent="0.2">
      <c r="A261" s="771"/>
      <c r="B261" s="772"/>
      <c r="C261" s="772"/>
      <c r="D261" s="775"/>
      <c r="E261" s="27"/>
      <c r="F261" s="27"/>
      <c r="G261" s="29"/>
      <c r="H261" s="771"/>
      <c r="I261" s="772"/>
      <c r="J261" s="772"/>
      <c r="K261" s="775"/>
      <c r="L261" s="1">
        <f t="shared" si="49"/>
        <v>7</v>
      </c>
      <c r="M261" s="1" t="str">
        <f t="shared" si="50"/>
        <v>Yes</v>
      </c>
      <c r="N261" s="1" t="str">
        <f t="shared" si="51"/>
        <v/>
      </c>
    </row>
    <row r="262" spans="1:14" x14ac:dyDescent="0.2">
      <c r="A262" s="771"/>
      <c r="B262" s="772"/>
      <c r="C262" s="772"/>
      <c r="D262" s="775"/>
      <c r="E262" s="27"/>
      <c r="F262" s="27"/>
      <c r="G262" s="29"/>
      <c r="H262" s="771"/>
      <c r="I262" s="772"/>
      <c r="J262" s="772"/>
      <c r="K262" s="775"/>
      <c r="L262" s="1">
        <f t="shared" ref="L262" si="52">COUNTBLANK(E262:K262)</f>
        <v>7</v>
      </c>
      <c r="M262" s="1" t="str">
        <f t="shared" ref="M262" si="53">IF(AND(A262&lt;&gt;"",L262&gt;3),"No","Yes")</f>
        <v>Yes</v>
      </c>
      <c r="N262" s="1" t="str">
        <f t="shared" ref="N262" si="54">CONCATENATE(E262,F262)</f>
        <v/>
      </c>
    </row>
    <row r="263" spans="1:14" x14ac:dyDescent="0.2">
      <c r="A263" s="771"/>
      <c r="B263" s="772"/>
      <c r="C263" s="772"/>
      <c r="D263" s="775"/>
      <c r="E263" s="27"/>
      <c r="F263" s="27"/>
      <c r="G263" s="29"/>
      <c r="H263" s="771"/>
      <c r="I263" s="772"/>
      <c r="J263" s="772"/>
      <c r="K263" s="775"/>
      <c r="L263" s="1">
        <f t="shared" si="49"/>
        <v>7</v>
      </c>
      <c r="M263" s="1" t="str">
        <f t="shared" si="50"/>
        <v>Yes</v>
      </c>
      <c r="N263" s="1" t="str">
        <f t="shared" si="51"/>
        <v/>
      </c>
    </row>
    <row r="264" spans="1:14" x14ac:dyDescent="0.2">
      <c r="A264" s="771"/>
      <c r="B264" s="772"/>
      <c r="C264" s="772"/>
      <c r="D264" s="775"/>
      <c r="E264" s="27"/>
      <c r="F264" s="27"/>
      <c r="G264" s="29"/>
      <c r="H264" s="771"/>
      <c r="I264" s="772"/>
      <c r="J264" s="772"/>
      <c r="K264" s="775"/>
      <c r="L264" s="1">
        <f t="shared" si="49"/>
        <v>7</v>
      </c>
      <c r="M264" s="1" t="str">
        <f t="shared" si="50"/>
        <v>Yes</v>
      </c>
      <c r="N264" s="1" t="str">
        <f t="shared" si="51"/>
        <v/>
      </c>
    </row>
    <row r="265" spans="1:14" x14ac:dyDescent="0.2">
      <c r="A265" s="771"/>
      <c r="B265" s="772"/>
      <c r="C265" s="772"/>
      <c r="D265" s="775"/>
      <c r="E265" s="27"/>
      <c r="F265" s="27"/>
      <c r="G265" s="29"/>
      <c r="H265" s="771"/>
      <c r="I265" s="772"/>
      <c r="J265" s="772"/>
      <c r="K265" s="775"/>
      <c r="M265" s="1">
        <f>COUNTIF(M238:M264,"Yes")</f>
        <v>25</v>
      </c>
    </row>
    <row r="266" spans="1:14" x14ac:dyDescent="0.2">
      <c r="A266" s="898" t="s">
        <v>99</v>
      </c>
      <c r="B266" s="786"/>
      <c r="C266" s="786"/>
      <c r="D266" s="786"/>
      <c r="E266" s="786"/>
      <c r="F266" s="787"/>
      <c r="G266" s="788">
        <f>SUM(G240:G265)</f>
        <v>0</v>
      </c>
      <c r="H266" s="789"/>
      <c r="I266" s="789"/>
      <c r="J266" s="789"/>
      <c r="K266" s="897"/>
    </row>
    <row r="267" spans="1:14" ht="15" x14ac:dyDescent="0.2">
      <c r="A267" s="895"/>
      <c r="B267" s="811"/>
      <c r="C267" s="811"/>
      <c r="D267" s="811"/>
      <c r="E267" s="811"/>
      <c r="F267" s="811"/>
      <c r="G267" s="811"/>
      <c r="H267" s="811"/>
      <c r="I267" s="811"/>
      <c r="J267" s="811"/>
      <c r="K267" s="896"/>
    </row>
    <row r="268" spans="1:14" ht="15" x14ac:dyDescent="0.2">
      <c r="A268" s="899" t="s">
        <v>47</v>
      </c>
      <c r="B268" s="783"/>
      <c r="C268" s="783"/>
      <c r="D268" s="783"/>
      <c r="E268" s="783"/>
      <c r="F268" s="783"/>
      <c r="G268" s="783"/>
      <c r="H268" s="783"/>
      <c r="I268" s="783"/>
      <c r="J268" s="783"/>
      <c r="K268" s="900"/>
    </row>
    <row r="269" spans="1:14" ht="15" x14ac:dyDescent="0.2">
      <c r="A269" s="899" t="s">
        <v>478</v>
      </c>
      <c r="B269" s="783"/>
      <c r="C269" s="783"/>
      <c r="D269" s="783"/>
      <c r="E269" s="783"/>
      <c r="F269" s="783"/>
      <c r="G269" s="783"/>
      <c r="H269" s="783"/>
      <c r="I269" s="783"/>
      <c r="J269" s="783"/>
      <c r="K269" s="900"/>
    </row>
    <row r="270" spans="1:14" x14ac:dyDescent="0.2">
      <c r="A270" s="804" t="s">
        <v>49</v>
      </c>
      <c r="B270" s="792"/>
      <c r="C270" s="792"/>
      <c r="D270" s="793"/>
      <c r="E270" s="800" t="s">
        <v>43</v>
      </c>
      <c r="F270" s="800" t="s">
        <v>118</v>
      </c>
      <c r="G270" s="803" t="s">
        <v>104</v>
      </c>
      <c r="H270" s="804" t="s">
        <v>53</v>
      </c>
      <c r="I270" s="792"/>
      <c r="J270" s="792"/>
      <c r="K270" s="793"/>
    </row>
    <row r="271" spans="1:14" x14ac:dyDescent="0.2">
      <c r="A271" s="806"/>
      <c r="B271" s="795"/>
      <c r="C271" s="795"/>
      <c r="D271" s="796"/>
      <c r="E271" s="801"/>
      <c r="F271" s="801"/>
      <c r="G271" s="801"/>
      <c r="H271" s="806"/>
      <c r="I271" s="795"/>
      <c r="J271" s="795"/>
      <c r="K271" s="796"/>
    </row>
    <row r="272" spans="1:14" x14ac:dyDescent="0.2">
      <c r="A272" s="806"/>
      <c r="B272" s="795"/>
      <c r="C272" s="795"/>
      <c r="D272" s="796"/>
      <c r="E272" s="801"/>
      <c r="F272" s="801"/>
      <c r="G272" s="801"/>
      <c r="H272" s="806"/>
      <c r="I272" s="795"/>
      <c r="J272" s="795"/>
      <c r="K272" s="796"/>
    </row>
    <row r="273" spans="1:14" x14ac:dyDescent="0.2">
      <c r="A273" s="806"/>
      <c r="B273" s="795"/>
      <c r="C273" s="795"/>
      <c r="D273" s="796"/>
      <c r="E273" s="801"/>
      <c r="F273" s="801"/>
      <c r="G273" s="801"/>
      <c r="H273" s="806"/>
      <c r="I273" s="795"/>
      <c r="J273" s="795"/>
      <c r="K273" s="796"/>
    </row>
    <row r="274" spans="1:14" x14ac:dyDescent="0.2">
      <c r="A274" s="806"/>
      <c r="B274" s="795"/>
      <c r="C274" s="795"/>
      <c r="D274" s="796"/>
      <c r="E274" s="801"/>
      <c r="F274" s="801"/>
      <c r="G274" s="801"/>
      <c r="H274" s="806"/>
      <c r="I274" s="795"/>
      <c r="J274" s="795"/>
      <c r="K274" s="796"/>
    </row>
    <row r="275" spans="1:14" x14ac:dyDescent="0.2">
      <c r="A275" s="808"/>
      <c r="B275" s="798"/>
      <c r="C275" s="798"/>
      <c r="D275" s="799"/>
      <c r="E275" s="802"/>
      <c r="F275" s="802"/>
      <c r="G275" s="802"/>
      <c r="H275" s="808"/>
      <c r="I275" s="798"/>
      <c r="J275" s="798"/>
      <c r="K275" s="799"/>
    </row>
    <row r="276" spans="1:14" x14ac:dyDescent="0.2">
      <c r="A276" s="890" t="s">
        <v>976</v>
      </c>
      <c r="B276" s="772"/>
      <c r="C276" s="772"/>
      <c r="D276" s="775"/>
      <c r="E276" s="194" t="s">
        <v>135</v>
      </c>
      <c r="F276" s="194" t="s">
        <v>584</v>
      </c>
      <c r="G276" s="195">
        <v>35303.18</v>
      </c>
      <c r="H276" s="884" t="s">
        <v>804</v>
      </c>
      <c r="I276" s="885"/>
      <c r="J276" s="885"/>
      <c r="K276" s="886"/>
      <c r="L276" s="1">
        <f>COUNTBLANK(E276:K276)</f>
        <v>3</v>
      </c>
      <c r="M276" s="1" t="str">
        <f>IF(AND(A276&lt;&gt;"",L276&gt;3),"No","Yes")</f>
        <v>Yes</v>
      </c>
      <c r="N276" s="1" t="str">
        <f>CONCATENATE(E276,F276)</f>
        <v>Operations &amp; MaintenanceFocus Interventions</v>
      </c>
    </row>
    <row r="277" spans="1:14" x14ac:dyDescent="0.2">
      <c r="A277" s="890" t="s">
        <v>976</v>
      </c>
      <c r="B277" s="772"/>
      <c r="C277" s="772"/>
      <c r="D277" s="775"/>
      <c r="E277" s="194" t="s">
        <v>135</v>
      </c>
      <c r="F277" s="194" t="s">
        <v>583</v>
      </c>
      <c r="G277" s="195">
        <v>169587.62000000002</v>
      </c>
      <c r="H277" s="884" t="s">
        <v>805</v>
      </c>
      <c r="I277" s="885"/>
      <c r="J277" s="885"/>
      <c r="K277" s="886"/>
      <c r="L277" s="1">
        <f t="shared" ref="L277:L299" si="55">COUNTBLANK(E277:K277)</f>
        <v>3</v>
      </c>
      <c r="M277" s="1" t="str">
        <f t="shared" ref="M277:M299" si="56">IF(AND(A277&lt;&gt;"",L277&gt;3),"No","Yes")</f>
        <v>Yes</v>
      </c>
      <c r="N277" s="1" t="str">
        <f t="shared" ref="N277:N299" si="57">CONCATENATE(E277,F277)</f>
        <v>Operations &amp; MaintenancePriority Interventions</v>
      </c>
    </row>
    <row r="278" spans="1:14" s="61" customFormat="1" x14ac:dyDescent="0.2">
      <c r="A278" s="907" t="s">
        <v>948</v>
      </c>
      <c r="B278" s="909"/>
      <c r="C278" s="909"/>
      <c r="D278" s="908"/>
      <c r="E278" s="194" t="s">
        <v>51</v>
      </c>
      <c r="F278" s="194" t="s">
        <v>111</v>
      </c>
      <c r="G278" s="195">
        <v>235786.57</v>
      </c>
      <c r="H278" s="907" t="s">
        <v>815</v>
      </c>
      <c r="I278" s="909"/>
      <c r="J278" s="909"/>
      <c r="K278" s="908"/>
      <c r="L278" s="61">
        <f t="shared" si="55"/>
        <v>3</v>
      </c>
      <c r="M278" s="61" t="str">
        <f t="shared" si="56"/>
        <v>Yes</v>
      </c>
      <c r="N278" s="61" t="str">
        <f t="shared" si="57"/>
        <v>Support ServicesParent Involvement</v>
      </c>
    </row>
    <row r="279" spans="1:14" s="61" customFormat="1" x14ac:dyDescent="0.2">
      <c r="A279" s="884" t="s">
        <v>930</v>
      </c>
      <c r="B279" s="885"/>
      <c r="C279" s="885"/>
      <c r="D279" s="886"/>
      <c r="E279" s="194" t="s">
        <v>94</v>
      </c>
      <c r="F279" s="194" t="s">
        <v>360</v>
      </c>
      <c r="G279" s="195">
        <v>246140.17</v>
      </c>
      <c r="H279" s="884" t="s">
        <v>1122</v>
      </c>
      <c r="I279" s="885"/>
      <c r="J279" s="885"/>
      <c r="K279" s="886"/>
      <c r="L279" s="61">
        <f t="shared" si="55"/>
        <v>3</v>
      </c>
      <c r="M279" s="61" t="str">
        <f t="shared" si="56"/>
        <v>Yes</v>
      </c>
      <c r="N279" s="61" t="str">
        <f t="shared" si="57"/>
        <v>AdministrationNON SETASIDE</v>
      </c>
    </row>
    <row r="280" spans="1:14" x14ac:dyDescent="0.2">
      <c r="A280" s="771" t="s">
        <v>1087</v>
      </c>
      <c r="B280" s="772"/>
      <c r="C280" s="772"/>
      <c r="D280" s="775"/>
      <c r="E280" s="27" t="s">
        <v>51</v>
      </c>
      <c r="F280" s="27" t="s">
        <v>107</v>
      </c>
      <c r="G280" s="29">
        <v>5500</v>
      </c>
      <c r="H280" s="771" t="s">
        <v>1089</v>
      </c>
      <c r="I280" s="772"/>
      <c r="J280" s="772"/>
      <c r="K280" s="775"/>
      <c r="L280" s="1">
        <f t="shared" si="55"/>
        <v>3</v>
      </c>
      <c r="M280" s="1" t="str">
        <f t="shared" si="56"/>
        <v>Yes</v>
      </c>
      <c r="N280" s="1" t="str">
        <f t="shared" si="57"/>
        <v>Support ServicesHomeless</v>
      </c>
    </row>
    <row r="281" spans="1:14" x14ac:dyDescent="0.2">
      <c r="A281" s="884" t="s">
        <v>1094</v>
      </c>
      <c r="B281" s="885"/>
      <c r="C281" s="885"/>
      <c r="D281" s="886"/>
      <c r="E281" s="27" t="s">
        <v>51</v>
      </c>
      <c r="F281" s="27" t="s">
        <v>111</v>
      </c>
      <c r="G281" s="29">
        <v>6271.57</v>
      </c>
      <c r="H281" s="884" t="s">
        <v>931</v>
      </c>
      <c r="I281" s="885"/>
      <c r="J281" s="885"/>
      <c r="K281" s="886"/>
      <c r="L281" s="1">
        <f t="shared" si="55"/>
        <v>3</v>
      </c>
      <c r="M281" s="1" t="str">
        <f t="shared" si="56"/>
        <v>Yes</v>
      </c>
      <c r="N281" s="1" t="str">
        <f t="shared" si="57"/>
        <v>Support ServicesParent Involvement</v>
      </c>
    </row>
    <row r="282" spans="1:14" s="61" customFormat="1" x14ac:dyDescent="0.2">
      <c r="A282" s="884" t="s">
        <v>908</v>
      </c>
      <c r="B282" s="885"/>
      <c r="C282" s="885"/>
      <c r="D282" s="886"/>
      <c r="E282" s="194" t="s">
        <v>51</v>
      </c>
      <c r="F282" s="194" t="s">
        <v>585</v>
      </c>
      <c r="G282" s="195">
        <v>4840.12</v>
      </c>
      <c r="H282" s="884" t="s">
        <v>1124</v>
      </c>
      <c r="I282" s="885"/>
      <c r="J282" s="885"/>
      <c r="K282" s="886"/>
      <c r="L282" s="61">
        <f t="shared" si="55"/>
        <v>3</v>
      </c>
      <c r="M282" s="61" t="str">
        <f t="shared" si="56"/>
        <v>Yes</v>
      </c>
      <c r="N282" s="61" t="str">
        <f t="shared" si="57"/>
        <v>Support ServicesOther Supports</v>
      </c>
    </row>
    <row r="283" spans="1:14" s="324" customFormat="1" ht="15" customHeight="1" x14ac:dyDescent="0.2">
      <c r="A283" s="931" t="s">
        <v>939</v>
      </c>
      <c r="B283" s="932"/>
      <c r="C283" s="932"/>
      <c r="D283" s="933"/>
      <c r="E283" s="323" t="s">
        <v>50</v>
      </c>
      <c r="F283" s="323" t="s">
        <v>360</v>
      </c>
      <c r="G283" s="307">
        <f>103775-14764</f>
        <v>89011</v>
      </c>
      <c r="H283" s="931" t="s">
        <v>1138</v>
      </c>
      <c r="I283" s="932"/>
      <c r="J283" s="932"/>
      <c r="K283" s="933"/>
      <c r="L283" s="324">
        <f t="shared" si="55"/>
        <v>3</v>
      </c>
      <c r="M283" s="324" t="str">
        <f t="shared" si="56"/>
        <v>Yes</v>
      </c>
      <c r="N283" s="324" t="str">
        <f t="shared" si="57"/>
        <v>InstructionNON SETASIDE</v>
      </c>
    </row>
    <row r="284" spans="1:14" s="221" customFormat="1" x14ac:dyDescent="0.2">
      <c r="A284" s="887" t="s">
        <v>910</v>
      </c>
      <c r="B284" s="888"/>
      <c r="C284" s="888"/>
      <c r="D284" s="889"/>
      <c r="E284" s="291" t="s">
        <v>51</v>
      </c>
      <c r="F284" s="291" t="s">
        <v>110</v>
      </c>
      <c r="G284" s="307">
        <v>17459.939999999999</v>
      </c>
      <c r="H284" s="887" t="s">
        <v>1147</v>
      </c>
      <c r="I284" s="888"/>
      <c r="J284" s="888"/>
      <c r="K284" s="889"/>
      <c r="L284" s="221">
        <f t="shared" si="55"/>
        <v>3</v>
      </c>
      <c r="M284" s="221" t="str">
        <f t="shared" si="56"/>
        <v>Yes</v>
      </c>
      <c r="N284" s="221" t="str">
        <f t="shared" si="57"/>
        <v>Support ServicesNeg. &amp; Delinquent</v>
      </c>
    </row>
    <row r="285" spans="1:14" s="61" customFormat="1" x14ac:dyDescent="0.2">
      <c r="A285" s="884" t="s">
        <v>910</v>
      </c>
      <c r="B285" s="885"/>
      <c r="C285" s="885"/>
      <c r="D285" s="886"/>
      <c r="E285" s="194" t="s">
        <v>51</v>
      </c>
      <c r="F285" s="194" t="s">
        <v>110</v>
      </c>
      <c r="G285" s="195">
        <v>200</v>
      </c>
      <c r="H285" s="939" t="s">
        <v>1148</v>
      </c>
      <c r="I285" s="885"/>
      <c r="J285" s="885"/>
      <c r="K285" s="886"/>
      <c r="L285" s="61">
        <f t="shared" si="55"/>
        <v>3</v>
      </c>
      <c r="M285" s="61" t="str">
        <f t="shared" si="56"/>
        <v>Yes</v>
      </c>
      <c r="N285" s="61" t="str">
        <f t="shared" si="57"/>
        <v>Support ServicesNeg. &amp; Delinquent</v>
      </c>
    </row>
    <row r="286" spans="1:14" x14ac:dyDescent="0.2">
      <c r="A286" s="771"/>
      <c r="B286" s="772"/>
      <c r="C286" s="772"/>
      <c r="D286" s="775"/>
      <c r="E286" s="27"/>
      <c r="F286" s="27"/>
      <c r="G286" s="29"/>
      <c r="H286" s="771"/>
      <c r="I286" s="772"/>
      <c r="J286" s="772"/>
      <c r="K286" s="775"/>
      <c r="L286" s="1">
        <f t="shared" si="55"/>
        <v>7</v>
      </c>
      <c r="M286" s="1" t="str">
        <f t="shared" si="56"/>
        <v>Yes</v>
      </c>
      <c r="N286" s="1" t="str">
        <f t="shared" si="57"/>
        <v/>
      </c>
    </row>
    <row r="287" spans="1:14" x14ac:dyDescent="0.2">
      <c r="A287" s="771"/>
      <c r="B287" s="772"/>
      <c r="C287" s="772"/>
      <c r="D287" s="775"/>
      <c r="E287" s="27"/>
      <c r="F287" s="27"/>
      <c r="G287" s="29"/>
      <c r="H287" s="771"/>
      <c r="I287" s="772"/>
      <c r="J287" s="772"/>
      <c r="K287" s="775"/>
      <c r="L287" s="1">
        <f t="shared" si="55"/>
        <v>7</v>
      </c>
      <c r="M287" s="1" t="str">
        <f t="shared" si="56"/>
        <v>Yes</v>
      </c>
      <c r="N287" s="1" t="str">
        <f t="shared" si="57"/>
        <v/>
      </c>
    </row>
    <row r="288" spans="1:14" x14ac:dyDescent="0.2">
      <c r="A288" s="771"/>
      <c r="B288" s="772"/>
      <c r="C288" s="772"/>
      <c r="D288" s="775"/>
      <c r="E288" s="27"/>
      <c r="F288" s="27"/>
      <c r="G288" s="29"/>
      <c r="H288" s="771"/>
      <c r="I288" s="772"/>
      <c r="J288" s="772"/>
      <c r="K288" s="775"/>
      <c r="L288" s="1">
        <f t="shared" si="55"/>
        <v>7</v>
      </c>
      <c r="M288" s="1" t="str">
        <f t="shared" si="56"/>
        <v>Yes</v>
      </c>
      <c r="N288" s="1" t="str">
        <f t="shared" si="57"/>
        <v/>
      </c>
    </row>
    <row r="289" spans="1:14" x14ac:dyDescent="0.2">
      <c r="A289" s="771"/>
      <c r="B289" s="772"/>
      <c r="C289" s="772"/>
      <c r="D289" s="775"/>
      <c r="E289" s="27"/>
      <c r="F289" s="27"/>
      <c r="G289" s="29"/>
      <c r="H289" s="771"/>
      <c r="I289" s="772"/>
      <c r="J289" s="772"/>
      <c r="K289" s="775"/>
      <c r="L289" s="1">
        <f t="shared" si="55"/>
        <v>7</v>
      </c>
      <c r="M289" s="1" t="str">
        <f t="shared" si="56"/>
        <v>Yes</v>
      </c>
      <c r="N289" s="1" t="str">
        <f t="shared" si="57"/>
        <v/>
      </c>
    </row>
    <row r="290" spans="1:14" x14ac:dyDescent="0.2">
      <c r="A290" s="771"/>
      <c r="B290" s="772"/>
      <c r="C290" s="772"/>
      <c r="D290" s="775"/>
      <c r="E290" s="27"/>
      <c r="F290" s="27"/>
      <c r="G290" s="29"/>
      <c r="H290" s="771"/>
      <c r="I290" s="772"/>
      <c r="J290" s="772"/>
      <c r="K290" s="775"/>
      <c r="L290" s="1">
        <f t="shared" si="55"/>
        <v>7</v>
      </c>
      <c r="M290" s="1" t="str">
        <f t="shared" si="56"/>
        <v>Yes</v>
      </c>
      <c r="N290" s="1" t="str">
        <f t="shared" si="57"/>
        <v/>
      </c>
    </row>
    <row r="291" spans="1:14" x14ac:dyDescent="0.2">
      <c r="A291" s="771"/>
      <c r="B291" s="772"/>
      <c r="C291" s="772"/>
      <c r="D291" s="775"/>
      <c r="E291" s="27"/>
      <c r="F291" s="27"/>
      <c r="G291" s="29"/>
      <c r="H291" s="771"/>
      <c r="I291" s="772"/>
      <c r="J291" s="772"/>
      <c r="K291" s="775"/>
      <c r="L291" s="1">
        <f t="shared" si="55"/>
        <v>7</v>
      </c>
      <c r="M291" s="1" t="str">
        <f t="shared" si="56"/>
        <v>Yes</v>
      </c>
      <c r="N291" s="1" t="str">
        <f t="shared" si="57"/>
        <v/>
      </c>
    </row>
    <row r="292" spans="1:14" x14ac:dyDescent="0.2">
      <c r="A292" s="771"/>
      <c r="B292" s="772"/>
      <c r="C292" s="772"/>
      <c r="D292" s="775"/>
      <c r="E292" s="27"/>
      <c r="F292" s="27"/>
      <c r="G292" s="29"/>
      <c r="H292" s="771"/>
      <c r="I292" s="772"/>
      <c r="J292" s="772"/>
      <c r="K292" s="775"/>
      <c r="L292" s="1">
        <f t="shared" si="55"/>
        <v>7</v>
      </c>
      <c r="M292" s="1" t="str">
        <f t="shared" si="56"/>
        <v>Yes</v>
      </c>
      <c r="N292" s="1" t="str">
        <f t="shared" si="57"/>
        <v/>
      </c>
    </row>
    <row r="293" spans="1:14" x14ac:dyDescent="0.2">
      <c r="A293" s="771"/>
      <c r="B293" s="772"/>
      <c r="C293" s="772"/>
      <c r="D293" s="775"/>
      <c r="E293" s="27"/>
      <c r="F293" s="27"/>
      <c r="G293" s="29"/>
      <c r="H293" s="771"/>
      <c r="I293" s="772"/>
      <c r="J293" s="772"/>
      <c r="K293" s="775"/>
      <c r="L293" s="1">
        <f t="shared" si="55"/>
        <v>7</v>
      </c>
      <c r="M293" s="1" t="str">
        <f t="shared" si="56"/>
        <v>Yes</v>
      </c>
      <c r="N293" s="1" t="str">
        <f t="shared" si="57"/>
        <v/>
      </c>
    </row>
    <row r="294" spans="1:14" x14ac:dyDescent="0.2">
      <c r="A294" s="771"/>
      <c r="B294" s="772"/>
      <c r="C294" s="772"/>
      <c r="D294" s="775"/>
      <c r="E294" s="27"/>
      <c r="F294" s="27"/>
      <c r="G294" s="29"/>
      <c r="H294" s="771"/>
      <c r="I294" s="772"/>
      <c r="J294" s="772"/>
      <c r="K294" s="775"/>
      <c r="L294" s="1">
        <f t="shared" si="55"/>
        <v>7</v>
      </c>
      <c r="M294" s="1" t="str">
        <f t="shared" si="56"/>
        <v>Yes</v>
      </c>
      <c r="N294" s="1" t="str">
        <f t="shared" si="57"/>
        <v/>
      </c>
    </row>
    <row r="295" spans="1:14" x14ac:dyDescent="0.2">
      <c r="A295" s="229"/>
      <c r="B295" s="227"/>
      <c r="C295" s="227"/>
      <c r="D295" s="228"/>
      <c r="E295" s="27"/>
      <c r="F295" s="27"/>
      <c r="G295" s="29"/>
      <c r="H295" s="229"/>
      <c r="I295" s="227"/>
      <c r="J295" s="227"/>
      <c r="K295" s="228"/>
      <c r="L295" s="1">
        <f t="shared" si="55"/>
        <v>7</v>
      </c>
      <c r="M295" s="1" t="str">
        <f t="shared" si="56"/>
        <v>Yes</v>
      </c>
      <c r="N295" s="1" t="str">
        <f t="shared" si="57"/>
        <v/>
      </c>
    </row>
    <row r="296" spans="1:14" x14ac:dyDescent="0.2">
      <c r="A296" s="771"/>
      <c r="B296" s="772"/>
      <c r="C296" s="772"/>
      <c r="D296" s="775"/>
      <c r="E296" s="27"/>
      <c r="F296" s="27"/>
      <c r="G296" s="29"/>
      <c r="H296" s="771"/>
      <c r="I296" s="772"/>
      <c r="J296" s="772"/>
      <c r="K296" s="775"/>
      <c r="L296" s="1">
        <f t="shared" si="55"/>
        <v>7</v>
      </c>
      <c r="M296" s="1" t="str">
        <f t="shared" si="56"/>
        <v>Yes</v>
      </c>
      <c r="N296" s="1" t="str">
        <f t="shared" si="57"/>
        <v/>
      </c>
    </row>
    <row r="297" spans="1:14" x14ac:dyDescent="0.2">
      <c r="A297" s="771"/>
      <c r="B297" s="772"/>
      <c r="C297" s="772"/>
      <c r="D297" s="775"/>
      <c r="E297" s="27"/>
      <c r="F297" s="27"/>
      <c r="G297" s="29"/>
      <c r="H297" s="771"/>
      <c r="I297" s="772"/>
      <c r="J297" s="772"/>
      <c r="K297" s="775"/>
      <c r="L297" s="1">
        <f t="shared" si="55"/>
        <v>7</v>
      </c>
      <c r="M297" s="1" t="str">
        <f t="shared" si="56"/>
        <v>Yes</v>
      </c>
      <c r="N297" s="1" t="str">
        <f t="shared" si="57"/>
        <v/>
      </c>
    </row>
    <row r="298" spans="1:14" x14ac:dyDescent="0.2">
      <c r="A298" s="229"/>
      <c r="B298" s="227"/>
      <c r="C298" s="227"/>
      <c r="D298" s="228"/>
      <c r="E298" s="27"/>
      <c r="F298" s="27"/>
      <c r="G298" s="29"/>
      <c r="H298" s="229"/>
      <c r="I298" s="227"/>
      <c r="J298" s="227"/>
      <c r="K298" s="228"/>
      <c r="L298" s="1">
        <f t="shared" si="55"/>
        <v>7</v>
      </c>
      <c r="M298" s="1" t="str">
        <f t="shared" si="56"/>
        <v>Yes</v>
      </c>
      <c r="N298" s="1" t="str">
        <f t="shared" si="57"/>
        <v/>
      </c>
    </row>
    <row r="299" spans="1:14" x14ac:dyDescent="0.2">
      <c r="A299" s="771"/>
      <c r="B299" s="772"/>
      <c r="C299" s="772"/>
      <c r="D299" s="775"/>
      <c r="E299" s="27"/>
      <c r="F299" s="27"/>
      <c r="G299" s="29"/>
      <c r="H299" s="771"/>
      <c r="I299" s="772"/>
      <c r="J299" s="772"/>
      <c r="K299" s="775"/>
      <c r="L299" s="1">
        <f t="shared" si="55"/>
        <v>7</v>
      </c>
      <c r="M299" s="1" t="str">
        <f t="shared" si="56"/>
        <v>Yes</v>
      </c>
      <c r="N299" s="1" t="str">
        <f t="shared" si="57"/>
        <v/>
      </c>
    </row>
    <row r="300" spans="1:14" x14ac:dyDescent="0.2">
      <c r="A300" s="771"/>
      <c r="B300" s="772"/>
      <c r="C300" s="772"/>
      <c r="D300" s="775"/>
      <c r="E300" s="27"/>
      <c r="F300" s="27"/>
      <c r="G300" s="29"/>
      <c r="H300" s="771"/>
      <c r="I300" s="772"/>
      <c r="J300" s="772"/>
      <c r="K300" s="775"/>
      <c r="M300" s="1">
        <f>COUNTIF(M276:M299,"Yes")</f>
        <v>24</v>
      </c>
    </row>
    <row r="301" spans="1:14" x14ac:dyDescent="0.2">
      <c r="A301" s="898" t="s">
        <v>100</v>
      </c>
      <c r="B301" s="786"/>
      <c r="C301" s="786"/>
      <c r="D301" s="786"/>
      <c r="E301" s="786"/>
      <c r="F301" s="787"/>
      <c r="G301" s="788">
        <f>SUM(G276:G300)</f>
        <v>810100.16999999993</v>
      </c>
      <c r="H301" s="789"/>
      <c r="I301" s="789"/>
      <c r="J301" s="789"/>
      <c r="K301" s="897"/>
    </row>
  </sheetData>
  <sheetProtection formatRows="0"/>
  <mergeCells count="517">
    <mergeCell ref="H35:K35"/>
    <mergeCell ref="A202:D202"/>
    <mergeCell ref="H202:K202"/>
    <mergeCell ref="A228:D228"/>
    <mergeCell ref="A224:D224"/>
    <mergeCell ref="A225:D225"/>
    <mergeCell ref="H225:K225"/>
    <mergeCell ref="H226:K226"/>
    <mergeCell ref="H227:K227"/>
    <mergeCell ref="A226:D226"/>
    <mergeCell ref="A227:D227"/>
    <mergeCell ref="A205:D205"/>
    <mergeCell ref="H205:K205"/>
    <mergeCell ref="A223:D223"/>
    <mergeCell ref="H223:K223"/>
    <mergeCell ref="A221:D221"/>
    <mergeCell ref="A213:D213"/>
    <mergeCell ref="A214:D214"/>
    <mergeCell ref="A216:D216"/>
    <mergeCell ref="H220:K220"/>
    <mergeCell ref="H216:K216"/>
    <mergeCell ref="H217:K217"/>
    <mergeCell ref="A217:D217"/>
    <mergeCell ref="A215:D215"/>
    <mergeCell ref="A98:B98"/>
    <mergeCell ref="H98:K98"/>
    <mergeCell ref="A218:D218"/>
    <mergeCell ref="A219:D219"/>
    <mergeCell ref="H218:K218"/>
    <mergeCell ref="H219:K219"/>
    <mergeCell ref="A105:B105"/>
    <mergeCell ref="A123:B123"/>
    <mergeCell ref="H123:K123"/>
    <mergeCell ref="H99:K99"/>
    <mergeCell ref="A100:B100"/>
    <mergeCell ref="A101:B101"/>
    <mergeCell ref="A102:B102"/>
    <mergeCell ref="H100:K100"/>
    <mergeCell ref="H101:K101"/>
    <mergeCell ref="H112:K112"/>
    <mergeCell ref="H113:K113"/>
    <mergeCell ref="H122:K122"/>
    <mergeCell ref="H116:K116"/>
    <mergeCell ref="H121:K121"/>
    <mergeCell ref="A299:D299"/>
    <mergeCell ref="H299:K299"/>
    <mergeCell ref="A294:D294"/>
    <mergeCell ref="H294:K294"/>
    <mergeCell ref="A296:D296"/>
    <mergeCell ref="H296:K296"/>
    <mergeCell ref="A259:D259"/>
    <mergeCell ref="H259:K259"/>
    <mergeCell ref="A254:D254"/>
    <mergeCell ref="H254:K254"/>
    <mergeCell ref="A255:D255"/>
    <mergeCell ref="H255:K255"/>
    <mergeCell ref="A262:D262"/>
    <mergeCell ref="H262:K262"/>
    <mergeCell ref="F270:F275"/>
    <mergeCell ref="G270:G275"/>
    <mergeCell ref="A277:D277"/>
    <mergeCell ref="H285:K285"/>
    <mergeCell ref="H286:K286"/>
    <mergeCell ref="A265:D265"/>
    <mergeCell ref="H265:K265"/>
    <mergeCell ref="A269:K269"/>
    <mergeCell ref="A270:D275"/>
    <mergeCell ref="H287:K287"/>
    <mergeCell ref="A84:B84"/>
    <mergeCell ref="A55:B55"/>
    <mergeCell ref="H55:K55"/>
    <mergeCell ref="A56:B56"/>
    <mergeCell ref="H56:K56"/>
    <mergeCell ref="A57:B57"/>
    <mergeCell ref="H57:K57"/>
    <mergeCell ref="A58:B58"/>
    <mergeCell ref="H58:K58"/>
    <mergeCell ref="H83:K83"/>
    <mergeCell ref="A71:B71"/>
    <mergeCell ref="H71:K71"/>
    <mergeCell ref="A72:B72"/>
    <mergeCell ref="H72:K72"/>
    <mergeCell ref="A73:B73"/>
    <mergeCell ref="H73:K73"/>
    <mergeCell ref="A74:B74"/>
    <mergeCell ref="H74:K74"/>
    <mergeCell ref="A83:B83"/>
    <mergeCell ref="H61:K61"/>
    <mergeCell ref="H82:K82"/>
    <mergeCell ref="A67:B67"/>
    <mergeCell ref="H67:K67"/>
    <mergeCell ref="A68:B68"/>
    <mergeCell ref="A95:B95"/>
    <mergeCell ref="A96:B96"/>
    <mergeCell ref="H96:K96"/>
    <mergeCell ref="A97:B97"/>
    <mergeCell ref="H174:K174"/>
    <mergeCell ref="H173:K173"/>
    <mergeCell ref="A180:D180"/>
    <mergeCell ref="A103:B103"/>
    <mergeCell ref="H178:K178"/>
    <mergeCell ref="H177:K177"/>
    <mergeCell ref="H176:K176"/>
    <mergeCell ref="H175:K175"/>
    <mergeCell ref="H107:K107"/>
    <mergeCell ref="A108:B108"/>
    <mergeCell ref="H108:K108"/>
    <mergeCell ref="A109:B109"/>
    <mergeCell ref="H109:K109"/>
    <mergeCell ref="H103:K103"/>
    <mergeCell ref="H97:K97"/>
    <mergeCell ref="H104:K104"/>
    <mergeCell ref="H105:K105"/>
    <mergeCell ref="H106:K106"/>
    <mergeCell ref="H117:K117"/>
    <mergeCell ref="A106:B106"/>
    <mergeCell ref="A119:B119"/>
    <mergeCell ref="H119:K119"/>
    <mergeCell ref="A118:B118"/>
    <mergeCell ref="H118:K118"/>
    <mergeCell ref="H110:J110"/>
    <mergeCell ref="A111:B111"/>
    <mergeCell ref="A124:B124"/>
    <mergeCell ref="H124:K124"/>
    <mergeCell ref="H182:K182"/>
    <mergeCell ref="A147:D147"/>
    <mergeCell ref="A173:D173"/>
    <mergeCell ref="A175:D175"/>
    <mergeCell ref="A152:D152"/>
    <mergeCell ref="A153:D153"/>
    <mergeCell ref="A154:D154"/>
    <mergeCell ref="A158:K158"/>
    <mergeCell ref="A159:D164"/>
    <mergeCell ref="F159:F164"/>
    <mergeCell ref="G159:G164"/>
    <mergeCell ref="H159:K164"/>
    <mergeCell ref="A165:D165"/>
    <mergeCell ref="H165:K165"/>
    <mergeCell ref="E159:E164"/>
    <mergeCell ref="A166:D166"/>
    <mergeCell ref="A183:D183"/>
    <mergeCell ref="A184:D184"/>
    <mergeCell ref="A185:D185"/>
    <mergeCell ref="A186:D186"/>
    <mergeCell ref="A187:D187"/>
    <mergeCell ref="A188:D188"/>
    <mergeCell ref="H185:K185"/>
    <mergeCell ref="H184:K184"/>
    <mergeCell ref="H183:K183"/>
    <mergeCell ref="H188:K188"/>
    <mergeCell ref="H187:K187"/>
    <mergeCell ref="H68:K68"/>
    <mergeCell ref="A69:B69"/>
    <mergeCell ref="H69:K69"/>
    <mergeCell ref="A70:B70"/>
    <mergeCell ref="H70:K70"/>
    <mergeCell ref="A75:B75"/>
    <mergeCell ref="A301:F301"/>
    <mergeCell ref="A264:D264"/>
    <mergeCell ref="A297:D297"/>
    <mergeCell ref="A293:D293"/>
    <mergeCell ref="A290:D290"/>
    <mergeCell ref="A287:D287"/>
    <mergeCell ref="A288:D288"/>
    <mergeCell ref="A289:D289"/>
    <mergeCell ref="A283:D283"/>
    <mergeCell ref="A285:D285"/>
    <mergeCell ref="A286:D286"/>
    <mergeCell ref="A300:D300"/>
    <mergeCell ref="A291:D291"/>
    <mergeCell ref="A292:D292"/>
    <mergeCell ref="A279:D279"/>
    <mergeCell ref="A280:D280"/>
    <mergeCell ref="A281:D281"/>
    <mergeCell ref="A282:D282"/>
    <mergeCell ref="A276:D276"/>
    <mergeCell ref="A284:D284"/>
    <mergeCell ref="H284:K284"/>
    <mergeCell ref="H277:K277"/>
    <mergeCell ref="H282:K282"/>
    <mergeCell ref="H281:K281"/>
    <mergeCell ref="H280:K280"/>
    <mergeCell ref="H279:K279"/>
    <mergeCell ref="A278:D278"/>
    <mergeCell ref="H283:K283"/>
    <mergeCell ref="H270:K275"/>
    <mergeCell ref="E270:E275"/>
    <mergeCell ref="A266:F266"/>
    <mergeCell ref="A268:K268"/>
    <mergeCell ref="G266:K266"/>
    <mergeCell ref="A267:K267"/>
    <mergeCell ref="A246:D246"/>
    <mergeCell ref="A247:D247"/>
    <mergeCell ref="A252:D252"/>
    <mergeCell ref="A253:D253"/>
    <mergeCell ref="A248:D248"/>
    <mergeCell ref="A249:D249"/>
    <mergeCell ref="A250:D250"/>
    <mergeCell ref="A256:D256"/>
    <mergeCell ref="A257:D257"/>
    <mergeCell ref="H253:K253"/>
    <mergeCell ref="H258:K258"/>
    <mergeCell ref="H257:K257"/>
    <mergeCell ref="H256:K256"/>
    <mergeCell ref="H260:K260"/>
    <mergeCell ref="A261:D261"/>
    <mergeCell ref="H261:K261"/>
    <mergeCell ref="A263:D263"/>
    <mergeCell ref="H263:K263"/>
    <mergeCell ref="A260:D260"/>
    <mergeCell ref="H214:K214"/>
    <mergeCell ref="H213:K213"/>
    <mergeCell ref="H207:K207"/>
    <mergeCell ref="H206:K206"/>
    <mergeCell ref="H204:K204"/>
    <mergeCell ref="H203:K203"/>
    <mergeCell ref="A210:D210"/>
    <mergeCell ref="A209:D209"/>
    <mergeCell ref="H209:K209"/>
    <mergeCell ref="A207:D207"/>
    <mergeCell ref="A203:D203"/>
    <mergeCell ref="A212:D212"/>
    <mergeCell ref="H212:K212"/>
    <mergeCell ref="H211:K211"/>
    <mergeCell ref="A204:D204"/>
    <mergeCell ref="A206:D206"/>
    <mergeCell ref="H210:K210"/>
    <mergeCell ref="H246:K246"/>
    <mergeCell ref="H245:K245"/>
    <mergeCell ref="H215:K215"/>
    <mergeCell ref="H221:K221"/>
    <mergeCell ref="A222:D222"/>
    <mergeCell ref="H222:K222"/>
    <mergeCell ref="F194:F199"/>
    <mergeCell ref="G194:G199"/>
    <mergeCell ref="A190:F190"/>
    <mergeCell ref="A191:K191"/>
    <mergeCell ref="A192:K192"/>
    <mergeCell ref="A193:K193"/>
    <mergeCell ref="H194:K199"/>
    <mergeCell ref="E194:E199"/>
    <mergeCell ref="H186:K186"/>
    <mergeCell ref="A194:D199"/>
    <mergeCell ref="G190:K190"/>
    <mergeCell ref="H189:K189"/>
    <mergeCell ref="A41:B41"/>
    <mergeCell ref="A39:B39"/>
    <mergeCell ref="A42:B42"/>
    <mergeCell ref="H41:K41"/>
    <mergeCell ref="A93:B93"/>
    <mergeCell ref="A65:B65"/>
    <mergeCell ref="A82:B82"/>
    <mergeCell ref="H200:K200"/>
    <mergeCell ref="H201:K201"/>
    <mergeCell ref="H180:K180"/>
    <mergeCell ref="H179:K179"/>
    <mergeCell ref="A181:D181"/>
    <mergeCell ref="H85:K85"/>
    <mergeCell ref="H86:K86"/>
    <mergeCell ref="H87:K87"/>
    <mergeCell ref="H88:K88"/>
    <mergeCell ref="H89:K89"/>
    <mergeCell ref="H90:K90"/>
    <mergeCell ref="A91:B91"/>
    <mergeCell ref="H91:K91"/>
    <mergeCell ref="A92:B92"/>
    <mergeCell ref="H92:K92"/>
    <mergeCell ref="H93:K93"/>
    <mergeCell ref="H94:K94"/>
    <mergeCell ref="H42:K42"/>
    <mergeCell ref="A104:B104"/>
    <mergeCell ref="A99:B99"/>
    <mergeCell ref="A107:B107"/>
    <mergeCell ref="A37:B37"/>
    <mergeCell ref="A24:B24"/>
    <mergeCell ref="A40:B40"/>
    <mergeCell ref="A50:B50"/>
    <mergeCell ref="A59:B59"/>
    <mergeCell ref="A60:B60"/>
    <mergeCell ref="A61:B61"/>
    <mergeCell ref="A62:B62"/>
    <mergeCell ref="A63:B63"/>
    <mergeCell ref="A64:B64"/>
    <mergeCell ref="A66:B66"/>
    <mergeCell ref="A81:B81"/>
    <mergeCell ref="A76:B76"/>
    <mergeCell ref="A77:B77"/>
    <mergeCell ref="A78:B78"/>
    <mergeCell ref="A79:B79"/>
    <mergeCell ref="A80:B80"/>
    <mergeCell ref="A30:B30"/>
    <mergeCell ref="A36:B36"/>
    <mergeCell ref="A33:B33"/>
    <mergeCell ref="A43:B43"/>
    <mergeCell ref="A15:B15"/>
    <mergeCell ref="A1:K2"/>
    <mergeCell ref="A3:K6"/>
    <mergeCell ref="A7:K8"/>
    <mergeCell ref="A9:B14"/>
    <mergeCell ref="C9:C14"/>
    <mergeCell ref="D9:D14"/>
    <mergeCell ref="F9:F14"/>
    <mergeCell ref="G9:G14"/>
    <mergeCell ref="H9:K14"/>
    <mergeCell ref="E9:E14"/>
    <mergeCell ref="H15:K15"/>
    <mergeCell ref="H38:K38"/>
    <mergeCell ref="H37:K37"/>
    <mergeCell ref="H33:K33"/>
    <mergeCell ref="H32:K32"/>
    <mergeCell ref="H21:K21"/>
    <mergeCell ref="H29:K29"/>
    <mergeCell ref="A22:B22"/>
    <mergeCell ref="A23:B23"/>
    <mergeCell ref="A25:B25"/>
    <mergeCell ref="A26:B26"/>
    <mergeCell ref="A29:B29"/>
    <mergeCell ref="A200:D200"/>
    <mergeCell ref="A201:D201"/>
    <mergeCell ref="A220:D220"/>
    <mergeCell ref="A189:D189"/>
    <mergeCell ref="H30:K30"/>
    <mergeCell ref="H22:K22"/>
    <mergeCell ref="H23:K23"/>
    <mergeCell ref="H28:K28"/>
    <mergeCell ref="H27:K27"/>
    <mergeCell ref="H26:K26"/>
    <mergeCell ref="H25:K25"/>
    <mergeCell ref="H24:K24"/>
    <mergeCell ref="A143:D143"/>
    <mergeCell ref="A144:D144"/>
    <mergeCell ref="A145:D145"/>
    <mergeCell ref="A85:B85"/>
    <mergeCell ref="A86:B86"/>
    <mergeCell ref="A87:B87"/>
    <mergeCell ref="A88:B88"/>
    <mergeCell ref="A89:B89"/>
    <mergeCell ref="A169:D169"/>
    <mergeCell ref="A182:D182"/>
    <mergeCell ref="A146:D146"/>
    <mergeCell ref="A174:D174"/>
    <mergeCell ref="H172:K172"/>
    <mergeCell ref="A170:D170"/>
    <mergeCell ref="H169:K169"/>
    <mergeCell ref="A176:D176"/>
    <mergeCell ref="A177:D177"/>
    <mergeCell ref="A178:D178"/>
    <mergeCell ref="A179:D179"/>
    <mergeCell ref="A167:D167"/>
    <mergeCell ref="G301:K301"/>
    <mergeCell ref="H300:K300"/>
    <mergeCell ref="H297:K297"/>
    <mergeCell ref="H293:K293"/>
    <mergeCell ref="H292:K292"/>
    <mergeCell ref="H291:K291"/>
    <mergeCell ref="H290:K290"/>
    <mergeCell ref="H289:K289"/>
    <mergeCell ref="E234:E239"/>
    <mergeCell ref="H242:K242"/>
    <mergeCell ref="H250:K250"/>
    <mergeCell ref="H249:K249"/>
    <mergeCell ref="H248:K248"/>
    <mergeCell ref="H278:K278"/>
    <mergeCell ref="H276:K276"/>
    <mergeCell ref="H247:K247"/>
    <mergeCell ref="H288:K288"/>
    <mergeCell ref="G230:K230"/>
    <mergeCell ref="H229:K229"/>
    <mergeCell ref="A231:K231"/>
    <mergeCell ref="A232:K232"/>
    <mergeCell ref="G234:G239"/>
    <mergeCell ref="H234:K239"/>
    <mergeCell ref="A240:D240"/>
    <mergeCell ref="H240:K240"/>
    <mergeCell ref="A244:D244"/>
    <mergeCell ref="H244:K244"/>
    <mergeCell ref="A241:D241"/>
    <mergeCell ref="H241:K241"/>
    <mergeCell ref="A242:D242"/>
    <mergeCell ref="A243:D243"/>
    <mergeCell ref="A245:D245"/>
    <mergeCell ref="H243:K243"/>
    <mergeCell ref="A229:D229"/>
    <mergeCell ref="A230:F230"/>
    <mergeCell ref="A258:D258"/>
    <mergeCell ref="A251:D251"/>
    <mergeCell ref="H264:K264"/>
    <mergeCell ref="H252:K252"/>
    <mergeCell ref="H251:K251"/>
    <mergeCell ref="H181:K181"/>
    <mergeCell ref="A172:D172"/>
    <mergeCell ref="A171:D171"/>
    <mergeCell ref="H171:K171"/>
    <mergeCell ref="H170:K170"/>
    <mergeCell ref="A233:K233"/>
    <mergeCell ref="A234:D239"/>
    <mergeCell ref="F234:F239"/>
    <mergeCell ref="H16:K16"/>
    <mergeCell ref="A19:B19"/>
    <mergeCell ref="H19:K19"/>
    <mergeCell ref="A20:B20"/>
    <mergeCell ref="H20:K20"/>
    <mergeCell ref="A17:B17"/>
    <mergeCell ref="H17:K17"/>
    <mergeCell ref="A18:B18"/>
    <mergeCell ref="H18:K18"/>
    <mergeCell ref="A16:B16"/>
    <mergeCell ref="A31:B31"/>
    <mergeCell ref="A21:B21"/>
    <mergeCell ref="A32:B32"/>
    <mergeCell ref="A27:B27"/>
    <mergeCell ref="H40:K40"/>
    <mergeCell ref="H39:K39"/>
    <mergeCell ref="A28:B28"/>
    <mergeCell ref="A38:B38"/>
    <mergeCell ref="A34:B34"/>
    <mergeCell ref="H111:J111"/>
    <mergeCell ref="H114:K114"/>
    <mergeCell ref="H115:K115"/>
    <mergeCell ref="H31:K31"/>
    <mergeCell ref="H62:K62"/>
    <mergeCell ref="H80:K80"/>
    <mergeCell ref="H59:K59"/>
    <mergeCell ref="H60:K60"/>
    <mergeCell ref="H63:K63"/>
    <mergeCell ref="H64:K64"/>
    <mergeCell ref="H65:K65"/>
    <mergeCell ref="H66:K66"/>
    <mergeCell ref="H75:K75"/>
    <mergeCell ref="H76:K76"/>
    <mergeCell ref="H77:K77"/>
    <mergeCell ref="H78:K78"/>
    <mergeCell ref="H79:K79"/>
    <mergeCell ref="H81:K81"/>
    <mergeCell ref="H36:K36"/>
    <mergeCell ref="H34:K34"/>
    <mergeCell ref="H43:K43"/>
    <mergeCell ref="H136:K136"/>
    <mergeCell ref="H135:K135"/>
    <mergeCell ref="H129:K134"/>
    <mergeCell ref="H120:K120"/>
    <mergeCell ref="H48:K48"/>
    <mergeCell ref="H47:K47"/>
    <mergeCell ref="H84:K84"/>
    <mergeCell ref="A128:K128"/>
    <mergeCell ref="A48:B48"/>
    <mergeCell ref="A49:B49"/>
    <mergeCell ref="A127:K127"/>
    <mergeCell ref="A126:K126"/>
    <mergeCell ref="G125:J125"/>
    <mergeCell ref="H95:K95"/>
    <mergeCell ref="H102:K102"/>
    <mergeCell ref="A53:B53"/>
    <mergeCell ref="A125:D125"/>
    <mergeCell ref="A129:D134"/>
    <mergeCell ref="A112:B112"/>
    <mergeCell ref="A90:B90"/>
    <mergeCell ref="A110:B110"/>
    <mergeCell ref="A94:B94"/>
    <mergeCell ref="H52:K52"/>
    <mergeCell ref="H51:K51"/>
    <mergeCell ref="H138:K138"/>
    <mergeCell ref="H147:K147"/>
    <mergeCell ref="H168:K168"/>
    <mergeCell ref="H167:K167"/>
    <mergeCell ref="H166:K166"/>
    <mergeCell ref="A156:K156"/>
    <mergeCell ref="G155:K155"/>
    <mergeCell ref="A155:F155"/>
    <mergeCell ref="A157:K157"/>
    <mergeCell ref="H154:K154"/>
    <mergeCell ref="H153:K153"/>
    <mergeCell ref="H152:K152"/>
    <mergeCell ref="A168:D168"/>
    <mergeCell ref="A139:D139"/>
    <mergeCell ref="A142:D142"/>
    <mergeCell ref="H149:K149"/>
    <mergeCell ref="A148:D148"/>
    <mergeCell ref="A149:D149"/>
    <mergeCell ref="A141:D141"/>
    <mergeCell ref="H141:K141"/>
    <mergeCell ref="A115:B115"/>
    <mergeCell ref="A117:B117"/>
    <mergeCell ref="H144:K144"/>
    <mergeCell ref="F129:F134"/>
    <mergeCell ref="G129:G134"/>
    <mergeCell ref="H148:K148"/>
    <mergeCell ref="A54:B54"/>
    <mergeCell ref="A140:D140"/>
    <mergeCell ref="E129:E134"/>
    <mergeCell ref="A135:D135"/>
    <mergeCell ref="A136:D136"/>
    <mergeCell ref="A137:D137"/>
    <mergeCell ref="A138:D138"/>
    <mergeCell ref="A116:B116"/>
    <mergeCell ref="A113:B113"/>
    <mergeCell ref="A120:B120"/>
    <mergeCell ref="A121:B121"/>
    <mergeCell ref="A122:B122"/>
    <mergeCell ref="A114:B114"/>
    <mergeCell ref="H146:K146"/>
    <mergeCell ref="H145:K145"/>
    <mergeCell ref="H137:K137"/>
    <mergeCell ref="H143:K143"/>
    <mergeCell ref="H142:K142"/>
    <mergeCell ref="H49:K49"/>
    <mergeCell ref="H50:K50"/>
    <mergeCell ref="H46:K46"/>
    <mergeCell ref="H45:K45"/>
    <mergeCell ref="H44:K44"/>
    <mergeCell ref="H53:K53"/>
    <mergeCell ref="A51:B51"/>
    <mergeCell ref="A44:B44"/>
    <mergeCell ref="A52:B52"/>
    <mergeCell ref="A45:B45"/>
    <mergeCell ref="A46:B46"/>
    <mergeCell ref="A47:B47"/>
  </mergeCells>
  <dataValidations xWindow="527" yWindow="763" count="6">
    <dataValidation allowBlank="1" showErrorMessage="1" sqref="G165:G189 G240:G265 G200:G229 G276:G300 G135:G154"/>
    <dataValidation type="textLength" operator="lessThan" allowBlank="1" showInputMessage="1" showErrorMessage="1" errorTitle="Too Much Text" error="Provide a brief description using no more than 100 characters here.  A more full description should be included within the summary worksheets (tab 2 and/or tab 8)." sqref="H278 H276:K277 H240:K265 I213:K217 H221:K229 H165:K189 A135:D136 I112:J114 I41:K49 J55:J109 H15:H20 K55:K114 A200:D201 I204:K208 H279:K282 H284:K300 H283 H204:H220 H41:H124 J51:K54 I51:I109 H200:K203 H21:K40 H137:K154">
      <formula1>101</formula1>
    </dataValidation>
    <dataValidation type="list" allowBlank="1" showInputMessage="1" showErrorMessage="1" sqref="E165:E189 E240:E265 D15:D124 E200:E229 E276:E300 E135:E154">
      <formula1>program</formula1>
    </dataValidation>
    <dataValidation type="list" allowBlank="1" showInputMessage="1" showErrorMessage="1" sqref="F165:F189 F240:F265 E15:E124 F200:F229 F276:F300 F135:F154">
      <formula1>setasides</formula1>
    </dataValidation>
    <dataValidation allowBlank="1" showInputMessage="1" showErrorMessage="1" promptTitle="Total Amount" prompt="Input the total amount of these funds being used to fund this individual's salary and benefits." sqref="G15 G17:G124"/>
    <dataValidation allowBlank="1" showInputMessage="1" showErrorMessage="1" promptTitle="% of FTE" prompt="Input a percentage or decimal showing the portion of this individual's total salary and benefits to be paid from these funds." sqref="F15:F124"/>
  </dataValidations>
  <pageMargins left="0.75" right="0.75" top="1" bottom="1" header="0.5" footer="0.5"/>
  <pageSetup scale="54" fitToHeight="0" orientation="landscape" r:id="rId1"/>
  <headerFooter alignWithMargins="0">
    <oddHeader>&amp;LFFY 2012 Consolidated Application&amp;C&amp;A&amp;R&amp;P of &amp;N</oddHeader>
  </headerFooter>
  <rowBreaks count="5" manualBreakCount="5">
    <brk id="125" max="10" man="1"/>
    <brk id="155" max="10" man="1"/>
    <brk id="190" max="10" man="1"/>
    <brk id="230" max="10" man="1"/>
    <brk id="267"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90"/>
  <sheetViews>
    <sheetView topLeftCell="A34" zoomScale="90" zoomScaleNormal="90" workbookViewId="0">
      <selection activeCell="J88" sqref="J88"/>
    </sheetView>
  </sheetViews>
  <sheetFormatPr defaultColWidth="9.140625" defaultRowHeight="12.75" x14ac:dyDescent="0.2"/>
  <cols>
    <col min="1" max="2" width="15.7109375" style="2" customWidth="1"/>
    <col min="3" max="3" width="17.28515625" style="2" bestFit="1" customWidth="1"/>
    <col min="4" max="10" width="15.7109375" style="2" customWidth="1"/>
    <col min="11" max="11" width="15.7109375" style="1" customWidth="1"/>
    <col min="12" max="13" width="9.140625" style="2"/>
    <col min="14" max="14" width="13.5703125" style="2" bestFit="1" customWidth="1"/>
    <col min="15" max="16384" width="9.140625" style="2"/>
  </cols>
  <sheetData>
    <row r="1" spans="1:11" ht="13.5" customHeight="1" thickTop="1" x14ac:dyDescent="0.2">
      <c r="A1" s="940" t="s">
        <v>105</v>
      </c>
      <c r="B1" s="941"/>
      <c r="C1" s="941"/>
      <c r="D1" s="869" t="s">
        <v>56</v>
      </c>
      <c r="E1" s="870"/>
      <c r="F1" s="870"/>
      <c r="G1" s="870"/>
      <c r="H1" s="870"/>
      <c r="I1" s="870"/>
      <c r="J1" s="870"/>
      <c r="K1" s="839" t="str">
        <f ca="1">IF(J85=('1'!B28-'3'!F18),"Your budget is now complete.","The total amount for which you have budgeted does not match the unconsolidated portion of the LEA's Title I, Part A allocation.")</f>
        <v>Your budget is now complete.</v>
      </c>
    </row>
    <row r="2" spans="1:11" ht="12.75" customHeight="1" x14ac:dyDescent="0.2">
      <c r="A2" s="942"/>
      <c r="B2" s="943"/>
      <c r="C2" s="943"/>
      <c r="D2" s="871"/>
      <c r="E2" s="872"/>
      <c r="F2" s="872"/>
      <c r="G2" s="872"/>
      <c r="H2" s="872"/>
      <c r="I2" s="872"/>
      <c r="J2" s="872"/>
      <c r="K2" s="840"/>
    </row>
    <row r="3" spans="1:11" ht="12.75" customHeight="1" x14ac:dyDescent="0.2">
      <c r="A3" s="942"/>
      <c r="B3" s="943"/>
      <c r="C3" s="943"/>
      <c r="D3" s="871"/>
      <c r="E3" s="872"/>
      <c r="F3" s="872"/>
      <c r="G3" s="872"/>
      <c r="H3" s="872"/>
      <c r="I3" s="872"/>
      <c r="J3" s="872"/>
      <c r="K3" s="840"/>
    </row>
    <row r="4" spans="1:11" ht="13.5" customHeight="1" thickBot="1" x14ac:dyDescent="0.25">
      <c r="A4" s="942"/>
      <c r="B4" s="943"/>
      <c r="C4" s="943"/>
      <c r="D4" s="873"/>
      <c r="E4" s="874"/>
      <c r="F4" s="874"/>
      <c r="G4" s="874"/>
      <c r="H4" s="874"/>
      <c r="I4" s="874"/>
      <c r="J4" s="874"/>
      <c r="K4" s="840"/>
    </row>
    <row r="5" spans="1:11" ht="12.75" customHeight="1" x14ac:dyDescent="0.2">
      <c r="A5" s="942"/>
      <c r="B5" s="943"/>
      <c r="C5" s="943"/>
      <c r="D5" s="842" t="s">
        <v>57</v>
      </c>
      <c r="E5" s="842" t="s">
        <v>58</v>
      </c>
      <c r="F5" s="842" t="s">
        <v>136</v>
      </c>
      <c r="G5" s="842" t="s">
        <v>138</v>
      </c>
      <c r="H5" s="842" t="s">
        <v>61</v>
      </c>
      <c r="I5" s="842" t="s">
        <v>115</v>
      </c>
      <c r="J5" s="844" t="s">
        <v>116</v>
      </c>
      <c r="K5" s="840"/>
    </row>
    <row r="6" spans="1:11" ht="12.75" customHeight="1" x14ac:dyDescent="0.2">
      <c r="A6" s="942"/>
      <c r="B6" s="943"/>
      <c r="C6" s="943"/>
      <c r="D6" s="843"/>
      <c r="E6" s="843"/>
      <c r="F6" s="843"/>
      <c r="G6" s="843"/>
      <c r="H6" s="843"/>
      <c r="I6" s="843"/>
      <c r="J6" s="845"/>
      <c r="K6" s="840"/>
    </row>
    <row r="7" spans="1:11" ht="12.75" customHeight="1" x14ac:dyDescent="0.2">
      <c r="A7" s="942"/>
      <c r="B7" s="943"/>
      <c r="C7" s="943"/>
      <c r="D7" s="843"/>
      <c r="E7" s="843"/>
      <c r="F7" s="843"/>
      <c r="G7" s="843"/>
      <c r="H7" s="843"/>
      <c r="I7" s="843"/>
      <c r="J7" s="846"/>
      <c r="K7" s="840"/>
    </row>
    <row r="8" spans="1:11" ht="13.5" customHeight="1" thickBot="1" x14ac:dyDescent="0.25">
      <c r="A8" s="944"/>
      <c r="B8" s="943"/>
      <c r="C8" s="943"/>
      <c r="D8" s="843"/>
      <c r="E8" s="843"/>
      <c r="F8" s="843"/>
      <c r="G8" s="843"/>
      <c r="H8" s="843"/>
      <c r="I8" s="843"/>
      <c r="J8" s="847"/>
      <c r="K8" s="840"/>
    </row>
    <row r="9" spans="1:11" ht="12.75" customHeight="1" x14ac:dyDescent="0.2">
      <c r="A9" s="851" t="s">
        <v>63</v>
      </c>
      <c r="B9" s="854" t="s">
        <v>50</v>
      </c>
      <c r="C9" s="35" t="s">
        <v>360</v>
      </c>
      <c r="D9" s="47">
        <f>SUMIF('9'!$N15:$N124,"InstructionNON SETASIDE",'9'!$G15:$G124)</f>
        <v>0</v>
      </c>
      <c r="E9" s="48">
        <f>SUMIF('9'!$N$135:$N$154,"InstructionNON SETASIDE",'9'!$G$135:$G$154)</f>
        <v>126340.9</v>
      </c>
      <c r="F9" s="48">
        <f>SUMIF('9'!$N$99:$N$116,"InstructionNON SETASIDE",'9'!$G$165:$G$189)</f>
        <v>0</v>
      </c>
      <c r="G9" s="48">
        <f>SUMIF('9'!$N$200:$N$229,"InstructionNON SETASIDE",'9'!$G$200:$G$229)</f>
        <v>301315.98</v>
      </c>
      <c r="H9" s="48">
        <f>SUMIF('9'!$N$240:$N$265,"InstructionNON SETASIDE",'9'!$G$240:$G$265)</f>
        <v>0</v>
      </c>
      <c r="I9" s="48">
        <f>SUMIF('9'!$N$276:$N$300,"InstructionNON SETASIDE",'9'!$G$276:$G$300)</f>
        <v>89011</v>
      </c>
      <c r="J9" s="169">
        <f t="shared" ref="J9:J74" si="0">SUM(D9:I9)</f>
        <v>516667.88</v>
      </c>
      <c r="K9" s="840"/>
    </row>
    <row r="10" spans="1:11" ht="12.75" customHeight="1" x14ac:dyDescent="0.2">
      <c r="A10" s="852"/>
      <c r="B10" s="856"/>
      <c r="C10" s="36" t="s">
        <v>111</v>
      </c>
      <c r="D10" s="49">
        <f>SUMIF('9'!$N$15:$N$124,"InstructionParent Involvement",'9'!$G$15:$G$124)</f>
        <v>0</v>
      </c>
      <c r="E10" s="50">
        <f>SUMIF('9'!$N$135:$N$154,"InstructionParent Involvement",'9'!$G$135:$G$154)</f>
        <v>0</v>
      </c>
      <c r="F10" s="50">
        <f>SUMIF('9'!$N$99:$N$116,"InstructionParent Involvement",'9'!$G$165:$G$189)</f>
        <v>0</v>
      </c>
      <c r="G10" s="50">
        <f>SUMIF('9'!$N$200:$N$229,"InstructionParent Involvement",'9'!$G$200:$G$229)</f>
        <v>0</v>
      </c>
      <c r="H10" s="50">
        <f>SUMIF('9'!$N$240:$N$265,"InstructionParent Involvement",'9'!$G$240:$G$265)</f>
        <v>0</v>
      </c>
      <c r="I10" s="50">
        <f>SUMIF('9'!$N$276:$N$300,"InstructionParent Involvement",'9'!$G$276:$G$300)</f>
        <v>0</v>
      </c>
      <c r="J10" s="170">
        <f t="shared" si="0"/>
        <v>0</v>
      </c>
      <c r="K10" s="840"/>
    </row>
    <row r="11" spans="1:11" ht="12.75" customHeight="1" x14ac:dyDescent="0.2">
      <c r="A11" s="852"/>
      <c r="B11" s="856"/>
      <c r="C11" s="36" t="s">
        <v>583</v>
      </c>
      <c r="D11" s="49">
        <f>SUMIF('9'!$N$15:$N$124,"InstructionPriority Interventions",'9'!$G$15:$G$124)</f>
        <v>1243410.33</v>
      </c>
      <c r="E11" s="50">
        <f>SUMIF('9'!$N$135:$N$154,"InstructionPriority Interventions",'9'!$G$135:$G$154)</f>
        <v>466745.52</v>
      </c>
      <c r="F11" s="50">
        <f>SUMIF('9'!$N$99:$N$116,"InstructionPriority Interventions",'9'!$G$165:$G$189)</f>
        <v>0</v>
      </c>
      <c r="G11" s="50">
        <f>SUMIF('9'!$N$200:$N$229,"InstructionPriority Interventions",'9'!$G$200:$G$229)</f>
        <v>0</v>
      </c>
      <c r="H11" s="50">
        <f>SUMIF('9'!$N$240:$N$265,"InstructionPriority Interventions",'9'!$G$240:$G$265)</f>
        <v>0</v>
      </c>
      <c r="I11" s="50">
        <f>SUMIF('9'!$N$276:$N$300,"InstructionPriority Interventions",'9'!$G$276:$G$300)</f>
        <v>0</v>
      </c>
      <c r="J11" s="170">
        <f t="shared" si="0"/>
        <v>1710155.85</v>
      </c>
      <c r="K11" s="840"/>
    </row>
    <row r="12" spans="1:11" ht="12.75" customHeight="1" x14ac:dyDescent="0.2">
      <c r="A12" s="852"/>
      <c r="B12" s="856"/>
      <c r="C12" s="36" t="s">
        <v>584</v>
      </c>
      <c r="D12" s="49">
        <f>SUMIF('9'!$N$15:$N$124,"InstructionFocus Interventions",'9'!$G$15:$G$124)</f>
        <v>352078.73999999993</v>
      </c>
      <c r="E12" s="50">
        <f>SUMIF('9'!$N$135:$N$154,"InstructionFocus Interventions",'9'!$G$135:$G$154)</f>
        <v>306626.25</v>
      </c>
      <c r="F12" s="50">
        <f>SUMIF('9'!$N$99:$N$116,"InstructionFocus Interventions",'9'!$G$165:$G$189)</f>
        <v>0</v>
      </c>
      <c r="G12" s="50">
        <f>SUMIF('9'!$N$200:$N$229,"InstructionFocus Interventions",'9'!$G$200:$G$229)</f>
        <v>0</v>
      </c>
      <c r="H12" s="50">
        <f>SUMIF('9'!$N$240:$N$265,"InstructionFocus Interventions",'9'!$G$240:$G$265)</f>
        <v>0</v>
      </c>
      <c r="I12" s="50">
        <f>SUMIF('9'!$N$276:$N$300,"InstructionFocus Interventions",'9'!$G$276:$G$300)</f>
        <v>0</v>
      </c>
      <c r="J12" s="170">
        <f t="shared" si="0"/>
        <v>658704.99</v>
      </c>
      <c r="K12" s="840"/>
    </row>
    <row r="13" spans="1:11" ht="12.75" customHeight="1" x14ac:dyDescent="0.2">
      <c r="A13" s="852"/>
      <c r="B13" s="856"/>
      <c r="C13" s="36" t="s">
        <v>585</v>
      </c>
      <c r="D13" s="49">
        <f>SUMIF('9'!$N$15:$N$124,"InstructionOther Supports",'9'!$G$15:$G$124)</f>
        <v>0</v>
      </c>
      <c r="E13" s="50">
        <f>SUMIF('9'!$N$135:$N$154,"InstructionOther Supports",'9'!$G$135:$G$154)</f>
        <v>0</v>
      </c>
      <c r="F13" s="50">
        <f>SUMIF('9'!$N$99:$N$116,"InstructionOther Supports",'9'!$G$165:$G$189)</f>
        <v>0</v>
      </c>
      <c r="G13" s="50">
        <f>SUMIF('9'!$N$200:$N$229,"InstructionOther Supports",'9'!$G$200:$G$229)</f>
        <v>0</v>
      </c>
      <c r="H13" s="50">
        <f>SUMIF('9'!$N$240:$N$265,"InstructionOther Supports",'9'!$G$240:$G$265)</f>
        <v>0</v>
      </c>
      <c r="I13" s="50">
        <f>SUMIF('9'!$N$276:$N$300,"InstructionOther Supports",'9'!$G$276:$G$300)</f>
        <v>0</v>
      </c>
      <c r="J13" s="170">
        <f t="shared" si="0"/>
        <v>0</v>
      </c>
      <c r="K13" s="840"/>
    </row>
    <row r="14" spans="1:11" ht="12.75" customHeight="1" x14ac:dyDescent="0.2">
      <c r="A14" s="852"/>
      <c r="B14" s="856"/>
      <c r="C14" s="36" t="s">
        <v>106</v>
      </c>
      <c r="D14" s="49">
        <f>SUMIF('9'!$N$15:$N$124,"InstructionFinancial Incentives",'9'!$G$15:$G$124)</f>
        <v>0</v>
      </c>
      <c r="E14" s="50">
        <f>SUMIF('9'!$N$135:$N$154,"InstructionFinancial Incentives",'9'!$G$135:$G$154)</f>
        <v>0</v>
      </c>
      <c r="F14" s="50">
        <f>SUMIF('9'!$N$99:$N$116,"InstructionFinancial Incentives",'9'!$G$165:$G$189)</f>
        <v>0</v>
      </c>
      <c r="G14" s="50">
        <f>SUMIF('9'!$N$200:$N$229,"InstructionFinancial Incentives",'9'!$G$200:$G$229)</f>
        <v>0</v>
      </c>
      <c r="H14" s="50">
        <f>SUMIF('9'!$N$240:$N$265,"InstructionFinancial Incentives",'9'!$G$240:$G$265)</f>
        <v>0</v>
      </c>
      <c r="I14" s="50">
        <f>SUMIF('9'!$N$276:$N$300,"InstructionFinancial Incentives",'9'!$G$276:$G$300)</f>
        <v>0</v>
      </c>
      <c r="J14" s="170">
        <f t="shared" si="0"/>
        <v>0</v>
      </c>
      <c r="K14" s="840"/>
    </row>
    <row r="15" spans="1:11" ht="12.75" customHeight="1" x14ac:dyDescent="0.2">
      <c r="A15" s="852"/>
      <c r="B15" s="856"/>
      <c r="C15" s="36" t="s">
        <v>141</v>
      </c>
      <c r="D15" s="49">
        <f>SUMIF('9'!$N$15:$N$124,"InstructionOff the Top Reserve",'9'!$G$15:$G$124)</f>
        <v>0</v>
      </c>
      <c r="E15" s="50">
        <f>SUMIF('9'!$N$135:$N$154,"InstructionOff the Top Reserve",'9'!$G$135:$G$154)</f>
        <v>0</v>
      </c>
      <c r="F15" s="50">
        <f>SUMIF('9'!$N$99:$N$116,"InstructionOff the Top Reserve",'9'!$G$165:$G$189)</f>
        <v>0</v>
      </c>
      <c r="G15" s="50">
        <f>SUMIF('9'!$N$200:$N$229,"InstructionOff the Top Reserve",'9'!$G$200:$G$229)</f>
        <v>0</v>
      </c>
      <c r="H15" s="50">
        <f>SUMIF('9'!$N$240:$N$265,"InstructionOff the Top Reserve",'9'!$G$240:$G$265)</f>
        <v>0</v>
      </c>
      <c r="I15" s="50">
        <f>SUMIF('9'!$N$276:$N$300,"InstructionOff the Top Reserve",'9'!$G$276:$G$300)</f>
        <v>0</v>
      </c>
      <c r="J15" s="170">
        <f t="shared" si="0"/>
        <v>0</v>
      </c>
      <c r="K15" s="840"/>
    </row>
    <row r="16" spans="1:11" ht="12.75" customHeight="1" x14ac:dyDescent="0.2">
      <c r="A16" s="852"/>
      <c r="B16" s="856"/>
      <c r="C16" s="36" t="s">
        <v>107</v>
      </c>
      <c r="D16" s="49">
        <f>SUMIF('9'!$N$15:$N$124,"InstructionHomeless",'9'!$G$15:$G$124)</f>
        <v>0</v>
      </c>
      <c r="E16" s="50">
        <f>SUMIF('9'!$N$135:$N$154,"InstructionHomeless",'9'!$G$135:$G$154)</f>
        <v>0</v>
      </c>
      <c r="F16" s="50">
        <f>SUMIF('9'!$N$99:$N$116,"InstructionHomeless",'9'!$G$165:$G$189)</f>
        <v>0</v>
      </c>
      <c r="G16" s="50">
        <f>SUMIF('9'!$N$200:$N$229,"InstructionHomeless",'9'!$G$200:$G$229)</f>
        <v>0</v>
      </c>
      <c r="H16" s="50">
        <f>SUMIF('9'!$N$240:$N$265,"InstructionHomeless",'9'!$G$240:$G$265)</f>
        <v>0</v>
      </c>
      <c r="I16" s="50">
        <f>SUMIF('9'!$N$276:$N$300,"InstructionHomeless",'9'!$G$276:$G$300)</f>
        <v>0</v>
      </c>
      <c r="J16" s="170">
        <f t="shared" si="0"/>
        <v>0</v>
      </c>
      <c r="K16" s="840"/>
    </row>
    <row r="17" spans="1:11" ht="12.75" customHeight="1" x14ac:dyDescent="0.2">
      <c r="A17" s="852"/>
      <c r="B17" s="856"/>
      <c r="C17" s="36" t="s">
        <v>110</v>
      </c>
      <c r="D17" s="49">
        <f>SUMIF('9'!$N$15:$N$124,"InstructionNeg. &amp; Delinquent",'9'!$G$15:$G$124)</f>
        <v>15821.61</v>
      </c>
      <c r="E17" s="50">
        <f>SUMIF('9'!$N$135:$N$154,"InstructionNeg. &amp; Delinquent",'9'!$G$135:$G$154)</f>
        <v>34731.33</v>
      </c>
      <c r="F17" s="50">
        <f>SUMIF('9'!$N$99:$N$116,"InstructionNeg. &amp; Delinquent",'9'!$G$165:$G$189)</f>
        <v>0</v>
      </c>
      <c r="G17" s="50">
        <f>SUMIF('9'!$N$200:$N$229,"InstructionNeg. &amp; Delinquent",'9'!$G$200:$G$229)</f>
        <v>23908</v>
      </c>
      <c r="H17" s="50">
        <f>SUMIF('9'!$N$240:$N$265,"InstructionNeg. &amp; Delinquent",'9'!$G$240:$G$265)</f>
        <v>0</v>
      </c>
      <c r="I17" s="50">
        <f>SUMIF('9'!$N$276:$N$300,"InstructionNeg. &amp; Delinquent",'9'!$G$276:$G$300)</f>
        <v>0</v>
      </c>
      <c r="J17" s="170">
        <f t="shared" si="0"/>
        <v>74460.94</v>
      </c>
      <c r="K17" s="840"/>
    </row>
    <row r="18" spans="1:11" ht="12.75" customHeight="1" x14ac:dyDescent="0.2">
      <c r="A18" s="852"/>
      <c r="B18" s="856"/>
      <c r="C18" s="36" t="s">
        <v>108</v>
      </c>
      <c r="D18" s="49">
        <f>SUMIF('9'!$N$15:$N$124,"InstructionEquitable Services",'9'!$G$15:$G$124)</f>
        <v>0</v>
      </c>
      <c r="E18" s="50">
        <f>SUMIF('9'!$N$135:$N$154,"InstructionEquitable Services",'9'!$G$135:$G$154)</f>
        <v>0</v>
      </c>
      <c r="F18" s="50">
        <f>SUMIF('9'!$N$99:$N$116,"InstructionEquitable Services",'9'!$G$165:$G$189)</f>
        <v>0</v>
      </c>
      <c r="G18" s="50">
        <f>SUMIF('9'!$N$200:$N$229,"InstructionEquitable Services",'9'!$G$200:$G$229)</f>
        <v>1441986.63</v>
      </c>
      <c r="H18" s="50">
        <f>SUMIF('9'!$N$240:$N$265,"InstructionEquitable Services",'9'!$G$240:$G$265)</f>
        <v>0</v>
      </c>
      <c r="I18" s="50">
        <f>SUMIF('9'!$N$276:$N$300,"InstructionEquitable Services",'9'!$G$276:$G$300)</f>
        <v>0</v>
      </c>
      <c r="J18" s="170">
        <f t="shared" si="0"/>
        <v>1441986.63</v>
      </c>
      <c r="K18" s="840"/>
    </row>
    <row r="19" spans="1:11" ht="13.5" customHeight="1" thickBot="1" x14ac:dyDescent="0.25">
      <c r="A19" s="852"/>
      <c r="B19" s="945"/>
      <c r="C19" s="37" t="s">
        <v>112</v>
      </c>
      <c r="D19" s="38">
        <f t="shared" ref="D19:I19" si="1">SUM(D9:D18)</f>
        <v>1611310.6800000002</v>
      </c>
      <c r="E19" s="38">
        <f t="shared" si="1"/>
        <v>934444</v>
      </c>
      <c r="F19" s="38">
        <f t="shared" si="1"/>
        <v>0</v>
      </c>
      <c r="G19" s="38">
        <f t="shared" si="1"/>
        <v>1767210.6099999999</v>
      </c>
      <c r="H19" s="38">
        <f t="shared" si="1"/>
        <v>0</v>
      </c>
      <c r="I19" s="38">
        <f t="shared" si="1"/>
        <v>89011</v>
      </c>
      <c r="J19" s="41">
        <f t="shared" si="0"/>
        <v>4401976.29</v>
      </c>
      <c r="K19" s="840"/>
    </row>
    <row r="20" spans="1:11" ht="12.75" customHeight="1" x14ac:dyDescent="0.2">
      <c r="A20" s="852"/>
      <c r="B20" s="854" t="s">
        <v>51</v>
      </c>
      <c r="C20" s="35" t="s">
        <v>360</v>
      </c>
      <c r="D20" s="47">
        <f>SUMIF('9'!$N$15:$N$124,"Support ServicesNON SETASIDE",'9'!$G$15:$G$124)</f>
        <v>1050918.42</v>
      </c>
      <c r="E20" s="48">
        <f>SUMIF('9'!$N$135:$N$154,"Support ServicesNON SETASIDE",'9'!$G$135:$G$154)</f>
        <v>0</v>
      </c>
      <c r="F20" s="48">
        <f>SUMIF('9'!$N$99:$N$116,"Support ServicesNON SETASIDE",'9'!$G$165:$G$189)</f>
        <v>0</v>
      </c>
      <c r="G20" s="48">
        <f>SUMIF('9'!$N$200:$N$229,"Support ServicesNON SETASIDE",'9'!$G$200:$G$229)</f>
        <v>0</v>
      </c>
      <c r="H20" s="48">
        <f>SUMIF('9'!$N$240:$N$265,"Support ServicesNON SETASIDE",'9'!$G$240:$G$265)</f>
        <v>0</v>
      </c>
      <c r="I20" s="48">
        <f>SUMIF('9'!$N$276:$N$300,"Support ServicesNON SETASIDE",'9'!$G$276:$G$300)</f>
        <v>0</v>
      </c>
      <c r="J20" s="169">
        <f t="shared" si="0"/>
        <v>1050918.42</v>
      </c>
      <c r="K20" s="840"/>
    </row>
    <row r="21" spans="1:11" ht="12.75" customHeight="1" x14ac:dyDescent="0.2">
      <c r="A21" s="852"/>
      <c r="B21" s="856"/>
      <c r="C21" s="36" t="s">
        <v>111</v>
      </c>
      <c r="D21" s="49">
        <f>SUMIF('9'!$N$15:$N$124,"Support ServicesParent Involvement",'9'!$G$15:$G$124)</f>
        <v>0</v>
      </c>
      <c r="E21" s="50">
        <f>SUMIF('9'!$N$135:$N$154,"Support ServicesParent Involvement",'9'!$G$135:$G$154)</f>
        <v>14764</v>
      </c>
      <c r="F21" s="50">
        <f>SUMIF('9'!$N$99:$N$116,"Support ServicesParent Involvement",'9'!$G$165:$G$189)</f>
        <v>0</v>
      </c>
      <c r="G21" s="50">
        <f>SUMIF('9'!$N$200:$N$229,"Support ServicesParent Involvement",'9'!$G$200:$G$229)</f>
        <v>27997.96</v>
      </c>
      <c r="H21" s="50">
        <f>SUMIF('9'!$N$240:$N$265,"Support ServicesParent Involvement",'9'!$G$240:$G$265)</f>
        <v>0</v>
      </c>
      <c r="I21" s="50">
        <f>SUMIF('9'!$N$276:$N$300,"Support ServicesParent Involvement",'9'!$G$276:$G$300)</f>
        <v>242058.14</v>
      </c>
      <c r="J21" s="170">
        <f t="shared" si="0"/>
        <v>284820.10000000003</v>
      </c>
      <c r="K21" s="840"/>
    </row>
    <row r="22" spans="1:11" ht="12.75" customHeight="1" x14ac:dyDescent="0.2">
      <c r="A22" s="852"/>
      <c r="B22" s="856"/>
      <c r="C22" s="36" t="s">
        <v>583</v>
      </c>
      <c r="D22" s="49">
        <f>SUMIF('9'!$N$15:$N$124,"Support ServicesPriority Interventions",'9'!$G$15:$G$124)</f>
        <v>1062480.5699999998</v>
      </c>
      <c r="E22" s="50">
        <f>SUMIF('9'!$N$135:$N$154,"Support ServicesPriority Interventions",'9'!$G$135:$G$154)</f>
        <v>0</v>
      </c>
      <c r="F22" s="50">
        <f>SUMIF('9'!$N$99:$N$116,"Support ServicesPriority Interventions",'9'!$G$165:$G$189)</f>
        <v>0</v>
      </c>
      <c r="G22" s="50">
        <f>SUMIF('9'!$N$200:$N$229,"Support ServicesPriority Interventions",'9'!$G$200:$G$229)</f>
        <v>1013030</v>
      </c>
      <c r="H22" s="50">
        <f>SUMIF('9'!$N$240:$N$265,"Support ServicesPriority Interventions",'9'!$G$240:$G$265)</f>
        <v>0</v>
      </c>
      <c r="I22" s="50">
        <f>SUMIF('9'!$N$276:$N$300,"Support ServicesPriority Interventions",'9'!$G$276:$G$300)</f>
        <v>0</v>
      </c>
      <c r="J22" s="170">
        <f t="shared" si="0"/>
        <v>2075510.5699999998</v>
      </c>
      <c r="K22" s="840"/>
    </row>
    <row r="23" spans="1:11" ht="12.75" customHeight="1" x14ac:dyDescent="0.2">
      <c r="A23" s="852"/>
      <c r="B23" s="856"/>
      <c r="C23" s="36" t="s">
        <v>584</v>
      </c>
      <c r="D23" s="49">
        <f>SUMIF('9'!$N$15:$N$124,"Support ServicesFocus Interventions",'9'!$G$15:$G$124)</f>
        <v>219228.27</v>
      </c>
      <c r="E23" s="50">
        <f>SUMIF('9'!$N$135:$N$154,"Support ServicesFocus Interventions",'9'!$G$135:$G$154)</f>
        <v>0</v>
      </c>
      <c r="F23" s="50">
        <f>SUMIF('9'!$N$99:$N$116,"Support ServicesFocus Interventions",'9'!$G$165:$G$189)</f>
        <v>0</v>
      </c>
      <c r="G23" s="50">
        <f>SUMIF('9'!$N$200:$N$229,"Support ServicesFocus Interventions",'9'!$G$200:$G$229)</f>
        <v>535044</v>
      </c>
      <c r="H23" s="50">
        <f>SUMIF('9'!$N$240:$N$265,"Support ServicesFocus Interventions",'9'!$G$240:$G$265)</f>
        <v>0</v>
      </c>
      <c r="I23" s="50">
        <f>SUMIF('9'!$N$276:$N$300,"Support ServicesFocus Interventions",'9'!$G$276:$G$300)</f>
        <v>0</v>
      </c>
      <c r="J23" s="170">
        <f t="shared" si="0"/>
        <v>754272.27</v>
      </c>
      <c r="K23" s="840"/>
    </row>
    <row r="24" spans="1:11" ht="12.75" customHeight="1" x14ac:dyDescent="0.2">
      <c r="A24" s="852"/>
      <c r="B24" s="856"/>
      <c r="C24" s="36" t="s">
        <v>585</v>
      </c>
      <c r="D24" s="49">
        <f>SUMIF('9'!$N$15:$N$124,"Support ServicesOther Supports",'9'!$G$15:$G$124)</f>
        <v>0</v>
      </c>
      <c r="E24" s="50">
        <f>SUMIF('9'!$N$135:$N$154,"Support ServicesOther Supports",'9'!$G$135:$G$154)</f>
        <v>0</v>
      </c>
      <c r="F24" s="50">
        <f>SUMIF('9'!$N$99:$N$116,"Support ServicesOther Supports",'9'!$G$165:$G$189)</f>
        <v>0</v>
      </c>
      <c r="G24" s="50">
        <f>SUMIF('9'!$N$200:$N$229,"Support ServicesOther Supports",'9'!$G$200:$G$229)</f>
        <v>0</v>
      </c>
      <c r="H24" s="50">
        <f>SUMIF('9'!$N$240:$N$265,"Support ServicesOther Supports",'9'!$G$240:$G$265)</f>
        <v>0</v>
      </c>
      <c r="I24" s="50">
        <f>SUMIF('9'!$N$276:$N$300,"Support ServicesOther Supports",'9'!$G$276:$G$300)</f>
        <v>4840.12</v>
      </c>
      <c r="J24" s="170">
        <f t="shared" si="0"/>
        <v>4840.12</v>
      </c>
      <c r="K24" s="840"/>
    </row>
    <row r="25" spans="1:11" ht="12.75" customHeight="1" x14ac:dyDescent="0.2">
      <c r="A25" s="852"/>
      <c r="B25" s="856"/>
      <c r="C25" s="36" t="s">
        <v>106</v>
      </c>
      <c r="D25" s="49">
        <f>SUMIF('9'!$N$15:$N$124,"Support ServicesFinancial Incentives",'9'!$G$15:$G$124)</f>
        <v>0</v>
      </c>
      <c r="E25" s="50">
        <f>SUMIF('9'!$N$135:$N$154,"Support ServicesFinancial Incentives",'9'!$G$135:$G$154)</f>
        <v>0</v>
      </c>
      <c r="F25" s="50">
        <f>SUMIF('9'!$N$99:$N$116,"Support ServicesFinancial Incentives",'9'!$G$165:$G$189)</f>
        <v>0</v>
      </c>
      <c r="G25" s="50">
        <f>SUMIF('9'!$N$200:$N$229,"Support ServicesFinancial Incentives",'9'!$G$200:$G$229)</f>
        <v>0</v>
      </c>
      <c r="H25" s="50">
        <f>SUMIF('9'!$N$240:$N$265,"Support ServicesFinancial Incentives",'9'!$G$240:$G$265)</f>
        <v>0</v>
      </c>
      <c r="I25" s="50">
        <f>SUMIF('9'!$N$276:$N$300,"Support ServicesFinancial Incentives",'9'!$G$276:$G$300)</f>
        <v>0</v>
      </c>
      <c r="J25" s="170">
        <f t="shared" si="0"/>
        <v>0</v>
      </c>
      <c r="K25" s="840"/>
    </row>
    <row r="26" spans="1:11" ht="12.75" customHeight="1" x14ac:dyDescent="0.2">
      <c r="A26" s="852"/>
      <c r="B26" s="856"/>
      <c r="C26" s="36" t="s">
        <v>141</v>
      </c>
      <c r="D26" s="49">
        <f>SUMIF('9'!$N$15:$N$124,"Support ServicesOff the Top Reserve",'9'!$G$15:$G$124)</f>
        <v>0</v>
      </c>
      <c r="E26" s="50">
        <f>SUMIF('9'!$N$135:$N$154,"Support ServicesOff the Top Reserve",'9'!$G$135:$G$154)</f>
        <v>0</v>
      </c>
      <c r="F26" s="50">
        <f>SUMIF('9'!$N$99:$N$116,"Support ServicesOff the Top Reserve",'9'!$G$165:$G$189)</f>
        <v>0</v>
      </c>
      <c r="G26" s="50">
        <f>SUMIF('9'!$N$200:$N$229,"Support ServicesOff the Top Reserve",'9'!$G$200:$G$229)</f>
        <v>0</v>
      </c>
      <c r="H26" s="50">
        <f>SUMIF('9'!$N$240:$N$265,"Support ServicesOff the Top Reserve",'9'!$G$240:$G$265)</f>
        <v>0</v>
      </c>
      <c r="I26" s="50">
        <f>SUMIF('9'!$N$276:$N$300,"Support ServicesOff the Top Reserve",'9'!$G$276:$G$300)</f>
        <v>0</v>
      </c>
      <c r="J26" s="170">
        <f t="shared" si="0"/>
        <v>0</v>
      </c>
      <c r="K26" s="840"/>
    </row>
    <row r="27" spans="1:11" ht="12.75" customHeight="1" x14ac:dyDescent="0.2">
      <c r="A27" s="852"/>
      <c r="B27" s="856"/>
      <c r="C27" s="36" t="s">
        <v>107</v>
      </c>
      <c r="D27" s="49">
        <f>SUMIF('9'!$N$15:$N$124,"Support ServicesHomeless",'9'!$G$15:$G$124)</f>
        <v>84624.56</v>
      </c>
      <c r="E27" s="50">
        <f>SUMIF('9'!$N$135:$N$154,"Support ServicesHomeless",'9'!$G$135:$G$154)</f>
        <v>30000</v>
      </c>
      <c r="F27" s="50">
        <f>SUMIF('9'!$N$99:$N$116,"Support ServicesHomeless",'9'!$G$165:$G$189)</f>
        <v>0</v>
      </c>
      <c r="G27" s="50">
        <f>SUMIF('9'!$N$200:$N$229,"Support ServicesHomeless",'9'!$G$200:$G$229)</f>
        <v>46100</v>
      </c>
      <c r="H27" s="50">
        <f>SUMIF('9'!$N$240:$N$265,"Support ServicesHomeless",'9'!$G$240:$G$265)</f>
        <v>0</v>
      </c>
      <c r="I27" s="50">
        <f>SUMIF('9'!$N$276:$N$300,"Support ServicesHomeless",'9'!$G$276:$G$300)</f>
        <v>5500</v>
      </c>
      <c r="J27" s="170">
        <f t="shared" si="0"/>
        <v>166224.56</v>
      </c>
      <c r="K27" s="840"/>
    </row>
    <row r="28" spans="1:11" ht="12.75" customHeight="1" x14ac:dyDescent="0.2">
      <c r="A28" s="852"/>
      <c r="B28" s="856"/>
      <c r="C28" s="36" t="s">
        <v>110</v>
      </c>
      <c r="D28" s="49">
        <f>SUMIF('9'!$N$15:$N$124,"Support ServicesNeg. &amp; Delinquent",'9'!$G$15:$G$124)</f>
        <v>0</v>
      </c>
      <c r="E28" s="50">
        <f>SUMIF('9'!$N$135:$N$154,"Support ServicesNeg. &amp; Delinquent",'9'!$G$135:$G$154)</f>
        <v>0</v>
      </c>
      <c r="F28" s="50">
        <f>SUMIF('9'!$N$99:$N$116,"Support ServicesNeg. &amp; Delinquent",'9'!$G$165:$G$189)</f>
        <v>0</v>
      </c>
      <c r="G28" s="50">
        <f>SUMIF('9'!$N$200:$N$229,"Support ServicesNeg. &amp; Delinquent",'9'!$G$200:$G$229)</f>
        <v>40380</v>
      </c>
      <c r="H28" s="50">
        <f>SUMIF('9'!$N$240:$N$265,"Support ServicesNeg. &amp; Delinquent",'9'!$G$240:$G$265)</f>
        <v>0</v>
      </c>
      <c r="I28" s="50">
        <f>SUMIF('9'!$N$276:$N$300,"Support ServicesNeg. &amp; Delinquent",'9'!$G$276:$G$300)</f>
        <v>17659.939999999999</v>
      </c>
      <c r="J28" s="170">
        <f t="shared" si="0"/>
        <v>58039.94</v>
      </c>
      <c r="K28" s="840"/>
    </row>
    <row r="29" spans="1:11" ht="12.75" customHeight="1" x14ac:dyDescent="0.2">
      <c r="A29" s="852"/>
      <c r="B29" s="856"/>
      <c r="C29" s="36" t="s">
        <v>108</v>
      </c>
      <c r="D29" s="49">
        <f>SUMIF('9'!$N$15:$N$124,"Support ServicesEquitable Services",'9'!$G$15:$G$124)</f>
        <v>0</v>
      </c>
      <c r="E29" s="50">
        <f>SUMIF('9'!$N$135:$N$154,"Support ServicesEquitable Services",'9'!$G$135:$G$154)</f>
        <v>0</v>
      </c>
      <c r="F29" s="50">
        <f>SUMIF('9'!$N$99:$N$116,"Support ServicesEquitable Services",'9'!$G$165:$G$189)</f>
        <v>0</v>
      </c>
      <c r="G29" s="50">
        <f>SUMIF('9'!$N$200:$N$229,"Support ServicesEquitable Services",'9'!$G$200:$G$229)</f>
        <v>42090.53</v>
      </c>
      <c r="H29" s="50">
        <f>SUMIF('9'!$N$240:$N$265,"Support ServicesEquitable Services",'9'!$G$240:$G$265)</f>
        <v>0</v>
      </c>
      <c r="I29" s="50">
        <f>SUMIF('9'!$N$276:$N$300,"Support ServicesEquitable Services",'9'!$G$276:$G$300)</f>
        <v>0</v>
      </c>
      <c r="J29" s="170">
        <f t="shared" si="0"/>
        <v>42090.53</v>
      </c>
      <c r="K29" s="840"/>
    </row>
    <row r="30" spans="1:11" ht="13.5" customHeight="1" thickBot="1" x14ac:dyDescent="0.25">
      <c r="A30" s="852"/>
      <c r="B30" s="945"/>
      <c r="C30" s="37" t="s">
        <v>112</v>
      </c>
      <c r="D30" s="38">
        <f t="shared" ref="D30:I30" si="2">SUM(D20:D29)</f>
        <v>2417251.8199999998</v>
      </c>
      <c r="E30" s="38">
        <f t="shared" si="2"/>
        <v>44764</v>
      </c>
      <c r="F30" s="38">
        <f t="shared" si="2"/>
        <v>0</v>
      </c>
      <c r="G30" s="38">
        <f t="shared" si="2"/>
        <v>1704642.49</v>
      </c>
      <c r="H30" s="38">
        <f t="shared" si="2"/>
        <v>0</v>
      </c>
      <c r="I30" s="38">
        <f t="shared" si="2"/>
        <v>270058.2</v>
      </c>
      <c r="J30" s="41">
        <f t="shared" si="0"/>
        <v>4436716.51</v>
      </c>
      <c r="K30" s="840"/>
    </row>
    <row r="31" spans="1:11" ht="12.75" customHeight="1" x14ac:dyDescent="0.2">
      <c r="A31" s="852"/>
      <c r="B31" s="854" t="s">
        <v>94</v>
      </c>
      <c r="C31" s="35" t="s">
        <v>360</v>
      </c>
      <c r="D31" s="47">
        <f>SUMIF('9'!$N$15:$N$124,"AdministrationNON SETASIDE",'9'!$G$15:$G$124)</f>
        <v>1533493.57</v>
      </c>
      <c r="E31" s="48">
        <f>SUMIF('9'!$N$135:$N$154,"AdministrationNON SETASIDE",'9'!$G$135:$G$154)</f>
        <v>0</v>
      </c>
      <c r="F31" s="48">
        <f>SUMIF('9'!$N$99:$N$116,"AdministrationNON SETASIDE",'9'!$G$165:$G$189)</f>
        <v>0</v>
      </c>
      <c r="G31" s="48">
        <f>SUMIF('9'!$N$200:$N$229,"AdministrationNON SETASIDE",'9'!$G$200:$G$229)</f>
        <v>299214.54000000004</v>
      </c>
      <c r="H31" s="48">
        <f>SUMIF('9'!$N$240:$N$265,"AdministrationNON SETASIDE",'9'!$G$240:$G$265)</f>
        <v>0</v>
      </c>
      <c r="I31" s="48">
        <f>SUMIF('9'!$N$276:$N$300,"AdministrationNON SETASIDE",'9'!$G$276:$G$300)</f>
        <v>246140.17</v>
      </c>
      <c r="J31" s="169">
        <f t="shared" si="0"/>
        <v>2078848.28</v>
      </c>
      <c r="K31" s="840"/>
    </row>
    <row r="32" spans="1:11" ht="12.75" customHeight="1" x14ac:dyDescent="0.2">
      <c r="A32" s="852"/>
      <c r="B32" s="856"/>
      <c r="C32" s="36" t="s">
        <v>111</v>
      </c>
      <c r="D32" s="49">
        <f>SUMIF('9'!$N$15:$N$124,"AdministrationParent Involvement",'9'!$G$15:$G$124)</f>
        <v>0</v>
      </c>
      <c r="E32" s="50">
        <f>SUMIF('9'!$N$135:$N$154,"AdministrationParent Involvement",'9'!$G$135:$G$154)</f>
        <v>0</v>
      </c>
      <c r="F32" s="50">
        <f>SUMIF('9'!$N$99:$N$116,"AdministrationParent Involvement",'9'!$G$165:$G$189)</f>
        <v>0</v>
      </c>
      <c r="G32" s="50">
        <f>SUMIF('9'!$N$200:$N$229,"AdministrationParent Involvement",'9'!$G$200:$G$229)</f>
        <v>0</v>
      </c>
      <c r="H32" s="50">
        <f>SUMIF('9'!$N$240:$N$265,"AdministrationParent Involvement",'9'!$G$240:$G$265)</f>
        <v>0</v>
      </c>
      <c r="I32" s="50">
        <f>SUMIF('9'!$N$276:$N$300,"AdministrationParent Involvement",'9'!$G$276:$G$300)</f>
        <v>0</v>
      </c>
      <c r="J32" s="170">
        <f t="shared" si="0"/>
        <v>0</v>
      </c>
      <c r="K32" s="840"/>
    </row>
    <row r="33" spans="1:11" ht="12.75" customHeight="1" x14ac:dyDescent="0.2">
      <c r="A33" s="852"/>
      <c r="B33" s="856"/>
      <c r="C33" s="36" t="s">
        <v>583</v>
      </c>
      <c r="D33" s="49">
        <f>SUMIF('9'!$N$15:$N$124,"AdministrationPriority Interventions",'9'!$G$15:$G$124)</f>
        <v>0</v>
      </c>
      <c r="E33" s="50">
        <f>SUMIF('9'!$N$135:$N$154,"AdministrationPriority Interventions",'9'!$G$135:$G$154)</f>
        <v>0</v>
      </c>
      <c r="F33" s="50">
        <f>SUMIF('9'!$N$99:$N$116,"AdministrationPriority Interventions",'9'!$G$165:$G$189)</f>
        <v>0</v>
      </c>
      <c r="G33" s="50">
        <f>SUMIF('9'!$N$200:$N$229,"AdministrationPriority Interventions",'9'!$G$200:$G$229)</f>
        <v>0</v>
      </c>
      <c r="H33" s="50">
        <f>SUMIF('9'!$N$240:$N$265,"AdministrationPriority Interventions",'9'!$G$240:$G$265)</f>
        <v>0</v>
      </c>
      <c r="I33" s="50">
        <f>SUMIF('9'!$N$276:$N$300,"AdministrationPriority Interventions",'9'!$G$276:$G$300)</f>
        <v>0</v>
      </c>
      <c r="J33" s="170">
        <f t="shared" si="0"/>
        <v>0</v>
      </c>
      <c r="K33" s="840"/>
    </row>
    <row r="34" spans="1:11" ht="12.75" customHeight="1" x14ac:dyDescent="0.2">
      <c r="A34" s="852"/>
      <c r="B34" s="856"/>
      <c r="C34" s="36" t="s">
        <v>584</v>
      </c>
      <c r="D34" s="245">
        <f>SUMIF('9'!$N$15:$N$124,"AdministrationFocus Interventions",'9'!$G$15:$G$124)</f>
        <v>6712.5</v>
      </c>
      <c r="E34" s="50">
        <f>SUMIF('9'!$N$135:$N$154,"AdministrationFocus Interventions",'9'!$G$135:$G$154)</f>
        <v>0</v>
      </c>
      <c r="F34" s="50">
        <f>SUMIF('9'!$N$99:$N$116,"AdministrationFocus Interventions",'9'!$G$165:$G$189)</f>
        <v>0</v>
      </c>
      <c r="G34" s="50">
        <f>SUMIF('9'!$N$200:$N$229,"AdministrationFocus Interventions",'9'!$G$200:$G$229)</f>
        <v>0</v>
      </c>
      <c r="H34" s="50">
        <f>SUMIF('9'!$N$240:$N$265,"AdministrationFocus Interventions",'9'!$G$240:$G$265)</f>
        <v>0</v>
      </c>
      <c r="I34" s="50">
        <f>SUMIF('9'!$N$276:$N$300,"AdministrationFocus Interventions",'9'!$G$276:$G$300)</f>
        <v>0</v>
      </c>
      <c r="J34" s="170">
        <f t="shared" si="0"/>
        <v>6712.5</v>
      </c>
      <c r="K34" s="840"/>
    </row>
    <row r="35" spans="1:11" ht="12.75" customHeight="1" x14ac:dyDescent="0.2">
      <c r="A35" s="852"/>
      <c r="B35" s="856"/>
      <c r="C35" s="36" t="s">
        <v>585</v>
      </c>
      <c r="D35" s="49">
        <f>SUMIF('9'!$N$15:$N$124,"AdministrationOther Supports",'9'!$G$15:$G$124)</f>
        <v>0</v>
      </c>
      <c r="E35" s="50">
        <f>SUMIF('9'!$N$135:$N$154,"AdministrationOther Supports",'9'!$G$135:$G$154)</f>
        <v>0</v>
      </c>
      <c r="F35" s="50">
        <f>SUMIF('9'!$N$99:$N$116,"AdministrationOther Supports",'9'!$G$165:$G$189)</f>
        <v>0</v>
      </c>
      <c r="G35" s="50">
        <f>SUMIF('9'!$N$200:$N$229,"AdministrationOther Supports",'9'!$G$200:$G$229)</f>
        <v>0</v>
      </c>
      <c r="H35" s="50">
        <f>SUMIF('9'!$N$240:$N$265,"AdministrationOther Supports",'9'!$G$240:$G$265)</f>
        <v>0</v>
      </c>
      <c r="I35" s="50">
        <f>SUMIF('9'!$N$276:$N$300,"AdministrationOther Supports",'9'!$G$276:$G$300)</f>
        <v>0</v>
      </c>
      <c r="J35" s="170">
        <f t="shared" si="0"/>
        <v>0</v>
      </c>
      <c r="K35" s="840"/>
    </row>
    <row r="36" spans="1:11" ht="12.75" customHeight="1" x14ac:dyDescent="0.2">
      <c r="A36" s="852"/>
      <c r="B36" s="856"/>
      <c r="C36" s="36" t="s">
        <v>106</v>
      </c>
      <c r="D36" s="49">
        <f>SUMIF('9'!$N$15:$N$124,"AdministrationFinancial Incentives",'9'!$G$15:$G$124)</f>
        <v>0</v>
      </c>
      <c r="E36" s="50">
        <f>SUMIF('9'!$N$135:$N$154,"AdministrationFinancial Incentives",'9'!$G$135:$G$154)</f>
        <v>0</v>
      </c>
      <c r="F36" s="50">
        <f>SUMIF('9'!$N$99:$N$116,"AdministrationFinancial Incentives",'9'!$G$165:$G$189)</f>
        <v>0</v>
      </c>
      <c r="G36" s="50">
        <f>SUMIF('9'!$N$200:$N$229,"AdministrationFinancial Incentives",'9'!$G$200:$G$229)</f>
        <v>0</v>
      </c>
      <c r="H36" s="50">
        <f>SUMIF('9'!$N$240:$N$265,"AdministrationFinancial Incentives",'9'!$G$240:$G$265)</f>
        <v>0</v>
      </c>
      <c r="I36" s="50">
        <f>SUMIF('9'!$N$276:$N$300,"AdministrationFinancial Incentives",'9'!$G$276:$G$300)</f>
        <v>0</v>
      </c>
      <c r="J36" s="170">
        <f t="shared" si="0"/>
        <v>0</v>
      </c>
      <c r="K36" s="840"/>
    </row>
    <row r="37" spans="1:11" ht="12.75" customHeight="1" x14ac:dyDescent="0.2">
      <c r="A37" s="852"/>
      <c r="B37" s="856"/>
      <c r="C37" s="36" t="s">
        <v>141</v>
      </c>
      <c r="D37" s="49">
        <f>SUMIF('9'!$N$15:$N$124,"AdministrationOff the Top Reserve",'9'!$G$15:$G$124)</f>
        <v>0</v>
      </c>
      <c r="E37" s="50">
        <f>SUMIF('9'!$N$135:$N$154,"AdministrationOff the Top Reserve",'9'!$G$135:$G$154)</f>
        <v>0</v>
      </c>
      <c r="F37" s="50">
        <f>SUMIF('9'!$N$99:$N$116,"AdministrationOff the Top Reserve",'9'!$G$165:$G$189)</f>
        <v>0</v>
      </c>
      <c r="G37" s="50">
        <f>SUMIF('9'!$N$200:$N$229,"AdministrationOff the Top Reserve",'9'!$G$200:$G$229)</f>
        <v>0</v>
      </c>
      <c r="H37" s="50">
        <f>SUMIF('9'!$N$240:$N$265,"AdministrationOff the Top Reserve",'9'!$G$240:$G$265)</f>
        <v>0</v>
      </c>
      <c r="I37" s="50">
        <f>SUMIF('9'!$N$276:$N$300,"AdministrationOff the Top Reserve",'9'!$G$276:$G$300)</f>
        <v>0</v>
      </c>
      <c r="J37" s="170">
        <f t="shared" si="0"/>
        <v>0</v>
      </c>
      <c r="K37" s="840"/>
    </row>
    <row r="38" spans="1:11" ht="12.75" customHeight="1" x14ac:dyDescent="0.2">
      <c r="A38" s="852"/>
      <c r="B38" s="856"/>
      <c r="C38" s="36" t="s">
        <v>107</v>
      </c>
      <c r="D38" s="49">
        <f>SUMIF('9'!$N$15:$N$124,"AdministrationHomeless",'9'!$G$15:$G$124)</f>
        <v>0</v>
      </c>
      <c r="E38" s="50">
        <f>SUMIF('9'!$N$135:$N$154,"AdministrationHomeless",'9'!$G$135:$G$154)</f>
        <v>0</v>
      </c>
      <c r="F38" s="50">
        <f>SUMIF('9'!$N$99:$N$116,"AdministrationHomeless",'9'!$G$165:$G$189)</f>
        <v>0</v>
      </c>
      <c r="G38" s="50">
        <f>SUMIF('9'!$N$200:$N$229,"AdministrationHomeless",'9'!$G$200:$G$229)</f>
        <v>0</v>
      </c>
      <c r="H38" s="50">
        <f>SUMIF('9'!$N$240:$N$265,"AdministrationHomeless",'9'!$G$240:$G$265)</f>
        <v>0</v>
      </c>
      <c r="I38" s="50">
        <f>SUMIF('9'!$N$276:$N$300,"AdministrationHomeless",'9'!$G$276:$G$300)</f>
        <v>0</v>
      </c>
      <c r="J38" s="170">
        <f t="shared" si="0"/>
        <v>0</v>
      </c>
      <c r="K38" s="840"/>
    </row>
    <row r="39" spans="1:11" ht="12.75" customHeight="1" x14ac:dyDescent="0.2">
      <c r="A39" s="852"/>
      <c r="B39" s="856"/>
      <c r="C39" s="36" t="s">
        <v>110</v>
      </c>
      <c r="D39" s="49">
        <f>SUMIF('9'!$N$15:$N$124,"AdministrationNeg. &amp; Delinquent",'9'!$G$15:$G$124)</f>
        <v>0</v>
      </c>
      <c r="E39" s="50">
        <f>SUMIF('9'!$N$135:$N$154,"AdministrationNeg. &amp; Delinquent",'9'!$G$135:$G$154)</f>
        <v>0</v>
      </c>
      <c r="F39" s="50">
        <f>SUMIF('9'!$N$99:$N$116,"AdministrationNeg. &amp; Delinquent",'9'!$G$165:$G$189)</f>
        <v>0</v>
      </c>
      <c r="G39" s="50">
        <f>SUMIF('9'!$N$200:$N$229,"AdministrationNeg. &amp; Delinquent",'9'!$G$200:$G$229)</f>
        <v>0</v>
      </c>
      <c r="H39" s="50">
        <f>SUMIF('9'!$N$240:$N$265,"AdministrationNeg. &amp; Delinquent",'9'!$G$240:$G$265)</f>
        <v>0</v>
      </c>
      <c r="I39" s="50">
        <f>SUMIF('9'!$N$276:$N$300,"AdministrationNeg. &amp; Delinquent",'9'!$G$276:$G$300)</f>
        <v>0</v>
      </c>
      <c r="J39" s="170">
        <f t="shared" si="0"/>
        <v>0</v>
      </c>
      <c r="K39" s="840"/>
    </row>
    <row r="40" spans="1:11" ht="12.75" customHeight="1" x14ac:dyDescent="0.2">
      <c r="A40" s="852"/>
      <c r="B40" s="856"/>
      <c r="C40" s="36" t="s">
        <v>108</v>
      </c>
      <c r="D40" s="49">
        <f>SUMIF('9'!$N$15:$N$124,"AdministrationEquitable Services",'9'!$G$15:$G$124)</f>
        <v>0</v>
      </c>
      <c r="E40" s="50">
        <f>SUMIF('9'!$N$135:$N$154,"AdministrationEquitable Services",'9'!$G$135:$G$154)</f>
        <v>0</v>
      </c>
      <c r="F40" s="50">
        <f>SUMIF('9'!$N$99:$N$116,"AdministrationEquitable Services",'9'!$G$165:$G$189)</f>
        <v>0</v>
      </c>
      <c r="G40" s="50">
        <f>SUMIF('9'!$N$200:$N$229,"AdministrationEquitable Services",'9'!$G$200:$G$229)</f>
        <v>398563</v>
      </c>
      <c r="H40" s="50">
        <f>SUMIF('9'!$N$240:$N$265,"AdministrationEquitable Services",'9'!$G$240:$G$265)</f>
        <v>0</v>
      </c>
      <c r="I40" s="50">
        <f>SUMIF('9'!$N$276:$N$300,"AdministrationEquitable Services",'9'!$G$276:$G$300)</f>
        <v>0</v>
      </c>
      <c r="J40" s="170">
        <f t="shared" si="0"/>
        <v>398563</v>
      </c>
      <c r="K40" s="840"/>
    </row>
    <row r="41" spans="1:11" ht="13.5" customHeight="1" thickBot="1" x14ac:dyDescent="0.25">
      <c r="A41" s="852"/>
      <c r="B41" s="945"/>
      <c r="C41" s="37" t="s">
        <v>112</v>
      </c>
      <c r="D41" s="38">
        <f t="shared" ref="D41:I41" si="3">SUM(D31:D40)</f>
        <v>1540206.07</v>
      </c>
      <c r="E41" s="38">
        <f t="shared" si="3"/>
        <v>0</v>
      </c>
      <c r="F41" s="38">
        <f t="shared" si="3"/>
        <v>0</v>
      </c>
      <c r="G41" s="38">
        <f t="shared" si="3"/>
        <v>697777.54</v>
      </c>
      <c r="H41" s="38">
        <f t="shared" si="3"/>
        <v>0</v>
      </c>
      <c r="I41" s="38">
        <f t="shared" si="3"/>
        <v>246140.17</v>
      </c>
      <c r="J41" s="41">
        <f t="shared" si="0"/>
        <v>2484123.7800000003</v>
      </c>
      <c r="K41" s="840"/>
    </row>
    <row r="42" spans="1:11" ht="12.75" customHeight="1" x14ac:dyDescent="0.2">
      <c r="A42" s="852"/>
      <c r="B42" s="854" t="s">
        <v>90</v>
      </c>
      <c r="C42" s="35" t="s">
        <v>360</v>
      </c>
      <c r="D42" s="47">
        <f>SUMIF('9'!$N$15:$N$124,"Operations &amp; MaintenanceNON SETASIDE",'9'!$G$15:$G$124)</f>
        <v>0</v>
      </c>
      <c r="E42" s="48">
        <f>SUMIF('9'!$N$135:$N$154,"Operations &amp; MaintenanceNON SETASIDE",'9'!$G$135:$G$154)</f>
        <v>0</v>
      </c>
      <c r="F42" s="48">
        <f>SUMIF('9'!$N$99:$N$116,"Operations &amp; MaintenanceNON SETASIDE",'9'!$G$165:$G$189)</f>
        <v>0</v>
      </c>
      <c r="G42" s="48">
        <f>SUMIF('9'!$N$200:$N$229,"Operations &amp; MaintenanceNON SETASIDE",'9'!$G$200:$G$229)</f>
        <v>0</v>
      </c>
      <c r="H42" s="48">
        <f>SUMIF('9'!$N$240:$N$265,"Operations &amp; MaintenanceNON SETASIDE",'9'!$G$240:$G$265)</f>
        <v>0</v>
      </c>
      <c r="I42" s="48">
        <f>SUMIF('9'!$N$276:$N$300,"Operations &amp; MaintenanceNON SETASIDE",'9'!$G$276:$G$300)</f>
        <v>0</v>
      </c>
      <c r="J42" s="169">
        <f t="shared" si="0"/>
        <v>0</v>
      </c>
      <c r="K42" s="840"/>
    </row>
    <row r="43" spans="1:11" x14ac:dyDescent="0.2">
      <c r="A43" s="852"/>
      <c r="B43" s="856"/>
      <c r="C43" s="36" t="s">
        <v>111</v>
      </c>
      <c r="D43" s="49">
        <f>SUMIF('9'!$N$15:$N$124,"Operations &amp; MaintenanceParent Involvement",'9'!$G$15:$G$124)</f>
        <v>0</v>
      </c>
      <c r="E43" s="50">
        <f>SUMIF('9'!$N$135:$N$154,"Operations &amp; MaintenanceParent Involvement",'9'!$G$135:$G$154)</f>
        <v>0</v>
      </c>
      <c r="F43" s="50">
        <f>SUMIF('9'!$N$99:$N$116,"Operations &amp; MaintenanceParent Involvement",'9'!$G$165:$G$189)</f>
        <v>0</v>
      </c>
      <c r="G43" s="50">
        <f>SUMIF('9'!$N$200:$N$229,"Operations &amp; MaintenanceParent Involvement",'9'!$G$200:$G$229)</f>
        <v>0</v>
      </c>
      <c r="H43" s="50">
        <f>SUMIF('9'!$N$240:$N$265,"Operations &amp; MaintenanceParent Involvement",'9'!$G$240:$G$265)</f>
        <v>0</v>
      </c>
      <c r="I43" s="50">
        <f>SUMIF('9'!$N$276:$N$300,"Operations &amp; MaintenanceParent Involvement",'9'!$G$276:$G$300)</f>
        <v>0</v>
      </c>
      <c r="J43" s="170">
        <f t="shared" si="0"/>
        <v>0</v>
      </c>
      <c r="K43" s="840"/>
    </row>
    <row r="44" spans="1:11" x14ac:dyDescent="0.2">
      <c r="A44" s="852"/>
      <c r="B44" s="856"/>
      <c r="C44" s="36" t="s">
        <v>583</v>
      </c>
      <c r="D44" s="49">
        <f>SUMIF('9'!$N$15:$N$124,"Operations &amp; MaintenancePriority Interventions",'9'!$G$15:$G$124)</f>
        <v>0</v>
      </c>
      <c r="E44" s="50">
        <f>SUMIF('9'!$N$135:$N$154,"Operations &amp; MaintenancePriority Interventions",'9'!$G$135:$G$154)</f>
        <v>0</v>
      </c>
      <c r="F44" s="50">
        <f>SUMIF('9'!$N$99:$N$116,"Operations &amp; MaintenancePriority Interventions",'9'!$G$165:$G$189)</f>
        <v>0</v>
      </c>
      <c r="G44" s="50">
        <f>SUMIF('9'!$N$200:$N$229,"Operations &amp; MaintenancePriority Interventions",'9'!$G$200:$G$229)</f>
        <v>0</v>
      </c>
      <c r="H44" s="50">
        <f>SUMIF('9'!$N$240:$N$265,"Operations &amp; MaintenancePriority Interventions",'9'!$G$240:$G$265)</f>
        <v>0</v>
      </c>
      <c r="I44" s="50">
        <f>SUMIF('9'!$N$276:$N$300,"Operations &amp; MaintenancePriority Interventions",'9'!$G$276:$G$300)</f>
        <v>169587.62000000002</v>
      </c>
      <c r="J44" s="170">
        <f t="shared" si="0"/>
        <v>169587.62000000002</v>
      </c>
      <c r="K44" s="840"/>
    </row>
    <row r="45" spans="1:11" x14ac:dyDescent="0.2">
      <c r="A45" s="852"/>
      <c r="B45" s="856"/>
      <c r="C45" s="36" t="s">
        <v>584</v>
      </c>
      <c r="D45" s="49">
        <f>SUMIF('9'!$N$15:$N$124,"Operations &amp; MaintenanceFocus Interventions",'9'!$G$15:$G$124)</f>
        <v>0</v>
      </c>
      <c r="E45" s="50">
        <f>SUMIF('9'!$N$135:$N$154,"Operations &amp; MaintenanceFocus Interventions",'9'!$G$135:$G$154)</f>
        <v>0</v>
      </c>
      <c r="F45" s="50">
        <f>SUMIF('9'!$N$99:$N$116,"Operations &amp; MaintenanceFocus Interventions",'9'!$G$165:$G$189)</f>
        <v>0</v>
      </c>
      <c r="G45" s="50">
        <f>SUMIF('9'!$N$200:$N$229,"Operations &amp; MaintenanceFocus Interventions",'9'!$G$200:$G$229)</f>
        <v>0</v>
      </c>
      <c r="H45" s="50">
        <f>SUMIF('9'!$N$240:$N$265,"Operations &amp; MaintenanceFocus Interventions",'9'!$G$240:$G$265)</f>
        <v>0</v>
      </c>
      <c r="I45" s="50">
        <f>SUMIF('9'!$N$276:$N$300,"Operations &amp; MaintenanceFocus Interventions",'9'!$G$276:$G$300)</f>
        <v>35303.18</v>
      </c>
      <c r="J45" s="170">
        <f t="shared" si="0"/>
        <v>35303.18</v>
      </c>
      <c r="K45" s="840"/>
    </row>
    <row r="46" spans="1:11" x14ac:dyDescent="0.2">
      <c r="A46" s="852"/>
      <c r="B46" s="856"/>
      <c r="C46" s="36" t="s">
        <v>585</v>
      </c>
      <c r="D46" s="49">
        <f>SUMIF('9'!$N$15:$N$124,"Operations &amp; MaintenanceOther Supports",'9'!$G$15:$G$124)</f>
        <v>0</v>
      </c>
      <c r="E46" s="50">
        <f>SUMIF('9'!$N$135:$N$154,"Operations &amp; MaintenanceOther Supports",'9'!$G$135:$G$154)</f>
        <v>0</v>
      </c>
      <c r="F46" s="50">
        <f>SUMIF('9'!$N$99:$N$116,"Operations &amp; MaintenanceOther Supports",'9'!$G$165:$G$189)</f>
        <v>0</v>
      </c>
      <c r="G46" s="50">
        <f>SUMIF('9'!$N$200:$N$229,"Operations &amp; MaintenanceOther Supports",'9'!$G$200:$G$229)</f>
        <v>0</v>
      </c>
      <c r="H46" s="50">
        <f>SUMIF('9'!$N$240:$N$265,"Operations &amp; MaintenanceOther Supports",'9'!$G$240:$G$265)</f>
        <v>0</v>
      </c>
      <c r="I46" s="50">
        <f>SUMIF('9'!$N$276:$N$300,"Operations &amp; MaintenanceOther Supports",'9'!$G$276:$G$300)</f>
        <v>0</v>
      </c>
      <c r="J46" s="170">
        <f t="shared" si="0"/>
        <v>0</v>
      </c>
      <c r="K46" s="840"/>
    </row>
    <row r="47" spans="1:11" x14ac:dyDescent="0.2">
      <c r="A47" s="852"/>
      <c r="B47" s="856"/>
      <c r="C47" s="36" t="s">
        <v>106</v>
      </c>
      <c r="D47" s="49">
        <f>SUMIF('9'!$N$15:$N$124,"Operations &amp; MaintenanceFinancial Incentives",'9'!$G$15:$G$124)</f>
        <v>0</v>
      </c>
      <c r="E47" s="50">
        <f>SUMIF('9'!$N$135:$N$154,"Operations &amp; MaintenanceFinancial Incentives",'9'!$G$135:$G$154)</f>
        <v>0</v>
      </c>
      <c r="F47" s="50">
        <f>SUMIF('9'!$N$99:$N$116,"Operations &amp; MaintenanceFinancial Incentives",'9'!$G$165:$G$189)</f>
        <v>0</v>
      </c>
      <c r="G47" s="50">
        <f>SUMIF('9'!$N$200:$N$229,"Operations &amp; MaintenanceFinancial Incentives",'9'!$G$200:$G$229)</f>
        <v>0</v>
      </c>
      <c r="H47" s="50">
        <f>SUMIF('9'!$N$240:$N$265,"Operations &amp; MaintenanceFinancial Incentives",'9'!$G$240:$G$265)</f>
        <v>0</v>
      </c>
      <c r="I47" s="50">
        <f>SUMIF('9'!$N$276:$N$300,"Operations &amp; MaintenanceFinancial Incentives",'9'!$G$276:$G$300)</f>
        <v>0</v>
      </c>
      <c r="J47" s="170">
        <f t="shared" si="0"/>
        <v>0</v>
      </c>
      <c r="K47" s="840"/>
    </row>
    <row r="48" spans="1:11" x14ac:dyDescent="0.2">
      <c r="A48" s="852"/>
      <c r="B48" s="856"/>
      <c r="C48" s="36" t="s">
        <v>141</v>
      </c>
      <c r="D48" s="49">
        <f>SUMIF('9'!$N$15:$N$124,"Operations &amp; MaintenanceOff the Top Reserve",'9'!$G$15:$G$124)</f>
        <v>0</v>
      </c>
      <c r="E48" s="50">
        <f>SUMIF('9'!$N$135:$N$154,"Operations &amp; MaintenanceOff the Top Reserve",'9'!$G$135:$G$154)</f>
        <v>0</v>
      </c>
      <c r="F48" s="50">
        <f>SUMIF('9'!$N$99:$N$116,"Operations &amp; MaintenanceOff the Top Reserve",'9'!$G$165:$G$189)</f>
        <v>0</v>
      </c>
      <c r="G48" s="50">
        <f>SUMIF('9'!$N$200:$N$229,"Operations &amp; MaintenanceOff the Top Reserve",'9'!$G$200:$G$229)</f>
        <v>0</v>
      </c>
      <c r="H48" s="50">
        <f>SUMIF('9'!$N$240:$N$265,"Operations &amp; MaintenanceOff the Top Reserve",'9'!$G$240:$G$265)</f>
        <v>0</v>
      </c>
      <c r="I48" s="50">
        <f>SUMIF('9'!$N$276:$N$300,"Operations &amp; MaintenanceOff the Top Reserve",'9'!$G$276:$G$300)</f>
        <v>0</v>
      </c>
      <c r="J48" s="170">
        <f t="shared" si="0"/>
        <v>0</v>
      </c>
      <c r="K48" s="840"/>
    </row>
    <row r="49" spans="1:11" x14ac:dyDescent="0.2">
      <c r="A49" s="852"/>
      <c r="B49" s="856"/>
      <c r="C49" s="36" t="s">
        <v>107</v>
      </c>
      <c r="D49" s="49">
        <f>SUMIF('9'!$N$15:$N$124,"Operations &amp; MaintenanceHomeless",'9'!$G$15:$G$124)</f>
        <v>0</v>
      </c>
      <c r="E49" s="50">
        <f>SUMIF('9'!$N$135:$N$154,"Operations &amp; MaintenanceHomeless",'9'!$G$135:$G$154)</f>
        <v>0</v>
      </c>
      <c r="F49" s="50">
        <f>SUMIF('9'!$N$99:$N$116,"Operations &amp; MaintenanceHomeless",'9'!$G$165:$G$189)</f>
        <v>0</v>
      </c>
      <c r="G49" s="50">
        <f>SUMIF('9'!$N$200:$N$229,"Operations &amp; MaintenanceHomeless",'9'!$G$200:$G$229)</f>
        <v>0</v>
      </c>
      <c r="H49" s="50">
        <f>SUMIF('9'!$N$240:$N$265,"Operations &amp; MaintenanceHomeless",'9'!$G$240:$G$265)</f>
        <v>0</v>
      </c>
      <c r="I49" s="50">
        <f>SUMIF('9'!$N$276:$N$300,"Operations &amp; MaintenanceHomeless",'9'!$G$276:$G$300)</f>
        <v>0</v>
      </c>
      <c r="J49" s="170">
        <f t="shared" si="0"/>
        <v>0</v>
      </c>
      <c r="K49" s="840"/>
    </row>
    <row r="50" spans="1:11" x14ac:dyDescent="0.2">
      <c r="A50" s="852"/>
      <c r="B50" s="856"/>
      <c r="C50" s="36" t="s">
        <v>110</v>
      </c>
      <c r="D50" s="49">
        <f>SUMIF('9'!$N$15:$N$124,"Operations &amp; MaintenanceNeg. &amp; Delinquent",'9'!$G$15:$G$124)</f>
        <v>0</v>
      </c>
      <c r="E50" s="50">
        <f>SUMIF('9'!$N$135:$N$154,"Operations &amp; MaintenanceNeg. &amp; Delinquent",'9'!$G$135:$G$154)</f>
        <v>0</v>
      </c>
      <c r="F50" s="50">
        <f>SUMIF('9'!$N$99:$N$116,"Operations &amp; MaintenanceNeg. &amp; Delinquent",'9'!$G$165:$G$189)</f>
        <v>0</v>
      </c>
      <c r="G50" s="50">
        <f>SUMIF('9'!$N$200:$N$229,"Operations &amp; MaintenanceNeg. &amp; Delinquent",'9'!$G$200:$G$229)</f>
        <v>0</v>
      </c>
      <c r="H50" s="50">
        <f>SUMIF('9'!$N$240:$N$265,"Operations &amp; MaintenanceNeg. &amp; Delinquent",'9'!$G$240:$G$265)</f>
        <v>0</v>
      </c>
      <c r="I50" s="50">
        <f>SUMIF('9'!$N$276:$N$300,"Operations &amp; MaintenanceNeg. &amp; Delinquent",'9'!$G$276:$G$300)</f>
        <v>0</v>
      </c>
      <c r="J50" s="170">
        <f t="shared" si="0"/>
        <v>0</v>
      </c>
      <c r="K50" s="840"/>
    </row>
    <row r="51" spans="1:11" x14ac:dyDescent="0.2">
      <c r="A51" s="852"/>
      <c r="B51" s="856"/>
      <c r="C51" s="36" t="s">
        <v>108</v>
      </c>
      <c r="D51" s="49">
        <f>SUMIF('9'!$N$15:$N$124,"Operations &amp; MaintenanceEquitable Services",'9'!$G$15:$G$124)</f>
        <v>0</v>
      </c>
      <c r="E51" s="50">
        <f>SUMIF('9'!$N$135:$N$154,"Operations &amp; MaintenanceEquitable Services",'9'!$G$135:$G$154)</f>
        <v>0</v>
      </c>
      <c r="F51" s="50">
        <f>SUMIF('9'!$N$99:$N$116,"Operations &amp; MaintenanceEquitable Services",'9'!$G$165:$G$189)</f>
        <v>0</v>
      </c>
      <c r="G51" s="50">
        <f>SUMIF('9'!$N$200:$N$229,"Operations &amp; MaintenanceEquitable Services",'9'!$G$200:$G$229)</f>
        <v>0</v>
      </c>
      <c r="H51" s="50">
        <f>SUMIF('9'!$N$240:$N$265,"Operations &amp; MaintenanceEquitable Services",'9'!$G$240:$G$265)</f>
        <v>0</v>
      </c>
      <c r="I51" s="50">
        <f>SUMIF('9'!$N$276:$N$300,"Operations &amp; MaintenanceEquitable Services",'9'!$G$276:$G$300)</f>
        <v>0</v>
      </c>
      <c r="J51" s="170">
        <f t="shared" si="0"/>
        <v>0</v>
      </c>
      <c r="K51" s="840"/>
    </row>
    <row r="52" spans="1:11" ht="13.5" thickBot="1" x14ac:dyDescent="0.25">
      <c r="A52" s="852"/>
      <c r="B52" s="945"/>
      <c r="C52" s="37" t="s">
        <v>112</v>
      </c>
      <c r="D52" s="38">
        <f t="shared" ref="D52:I52" si="4">SUM(D42:D51)</f>
        <v>0</v>
      </c>
      <c r="E52" s="38">
        <f t="shared" si="4"/>
        <v>0</v>
      </c>
      <c r="F52" s="38">
        <f t="shared" si="4"/>
        <v>0</v>
      </c>
      <c r="G52" s="38">
        <f t="shared" si="4"/>
        <v>0</v>
      </c>
      <c r="H52" s="38">
        <f t="shared" si="4"/>
        <v>0</v>
      </c>
      <c r="I52" s="38">
        <f t="shared" si="4"/>
        <v>204890.80000000002</v>
      </c>
      <c r="J52" s="41">
        <f t="shared" si="0"/>
        <v>204890.80000000002</v>
      </c>
      <c r="K52" s="840"/>
    </row>
    <row r="53" spans="1:11" ht="12.75" customHeight="1" x14ac:dyDescent="0.2">
      <c r="A53" s="852"/>
      <c r="B53" s="854" t="s">
        <v>95</v>
      </c>
      <c r="C53" s="35" t="s">
        <v>360</v>
      </c>
      <c r="D53" s="47">
        <f ca="1">SUMIF('9'!$N$15:$N$124,"Student TransportationNON SETASIDE",'9'!$G$124:$G$151)</f>
        <v>0</v>
      </c>
      <c r="E53" s="48">
        <f>SUMIF('9'!$N$135:$N$154,"Student TransportationNON SETASIDE",'9'!$G$135:$G$154)</f>
        <v>0</v>
      </c>
      <c r="F53" s="48">
        <f>SUMIF('9'!$N$99:$N$116,"Student TransportationNON SETASIDE",'9'!$G$165:$G$189)</f>
        <v>0</v>
      </c>
      <c r="G53" s="48">
        <f>SUMIF('9'!$N$200:$N$229,"Student TransportationNON SETASIDE",'9'!$G$200:$G$229)</f>
        <v>847500</v>
      </c>
      <c r="H53" s="48">
        <f>SUMIF('9'!$N$240:$N$265,"Student TransportationNON SETASIDE",'9'!$G$240:$G$265)</f>
        <v>0</v>
      </c>
      <c r="I53" s="48">
        <f>SUMIF('9'!$N$276:$N$300,"Student TransportationNON SETASIDE",'9'!$G$276:$G$300)</f>
        <v>0</v>
      </c>
      <c r="J53" s="169">
        <f t="shared" ref="J53:J63" ca="1" si="5">SUM(D53:I53)</f>
        <v>847500</v>
      </c>
      <c r="K53" s="840"/>
    </row>
    <row r="54" spans="1:11" x14ac:dyDescent="0.2">
      <c r="A54" s="852"/>
      <c r="B54" s="856"/>
      <c r="C54" s="36" t="s">
        <v>111</v>
      </c>
      <c r="D54" s="49">
        <f>SUMIF('9'!$N$15:$N$124,"Student TransportationParent Involvement",'9'!$G$15:$G$124)</f>
        <v>0</v>
      </c>
      <c r="E54" s="50">
        <f>SUMIF('9'!$N$135:$N$154,"Student TransportationParent Involvement",'9'!$G$135:$G$154)</f>
        <v>0</v>
      </c>
      <c r="F54" s="50">
        <f>SUMIF('9'!$N$99:$N$116,"Student TransportationParent Involvement",'9'!$G$165:$G$189)</f>
        <v>0</v>
      </c>
      <c r="G54" s="50">
        <f>SUMIF('9'!$N$200:$N$229,"Student TransportationParent Involvement",'9'!$G$200:$G$229)</f>
        <v>0</v>
      </c>
      <c r="H54" s="50">
        <f>SUMIF('9'!$N$240:$N$265,"Student TransportationParent Involvement",'9'!$G$240:$G$265)</f>
        <v>0</v>
      </c>
      <c r="I54" s="50">
        <f>SUMIF('9'!$N$276:$N$300,"Student TransportationParent Involvement",'9'!$G$276:$G$300)</f>
        <v>0</v>
      </c>
      <c r="J54" s="170">
        <f t="shared" si="5"/>
        <v>0</v>
      </c>
      <c r="K54" s="840"/>
    </row>
    <row r="55" spans="1:11" x14ac:dyDescent="0.2">
      <c r="A55" s="852"/>
      <c r="B55" s="856"/>
      <c r="C55" s="36" t="s">
        <v>583</v>
      </c>
      <c r="D55" s="49">
        <f>SUMIF('9'!$N$15:$N$124,"Student TransportationPriority Interventions",'9'!$G$15:$G$124)</f>
        <v>0</v>
      </c>
      <c r="E55" s="50">
        <f>SUMIF('9'!$N$135:$N$154,"Student TransportationPriority Interventions",'9'!$G$135:$G$154)</f>
        <v>0</v>
      </c>
      <c r="F55" s="50">
        <f>SUMIF('9'!$N$99:$N$116,"Student TransportationPriority Interventions",'9'!$G$165:$G$189)</f>
        <v>0</v>
      </c>
      <c r="G55" s="50">
        <f>SUMIF('9'!$N$200:$N$229,"Student TransportationPriority Interventions",'9'!$G$200:$G$229)</f>
        <v>0</v>
      </c>
      <c r="H55" s="50">
        <f>SUMIF('9'!$N$240:$N$265,"Student TransportationPriority Interventions",'9'!$G$240:$G$265)</f>
        <v>0</v>
      </c>
      <c r="I55" s="50">
        <f>SUMIF('9'!$N$276:$N$300,"Student TransportationPriority Interventions",'9'!$G$276:$G$300)</f>
        <v>0</v>
      </c>
      <c r="J55" s="170">
        <f t="shared" si="5"/>
        <v>0</v>
      </c>
      <c r="K55" s="840"/>
    </row>
    <row r="56" spans="1:11" x14ac:dyDescent="0.2">
      <c r="A56" s="852"/>
      <c r="B56" s="856"/>
      <c r="C56" s="36" t="s">
        <v>584</v>
      </c>
      <c r="D56" s="49">
        <f>SUMIF('9'!$N$15:$N$124,"Student TransportationFocus Interventions",'9'!$G$15:$G$124)</f>
        <v>0</v>
      </c>
      <c r="E56" s="50">
        <f>SUMIF('9'!$N$135:$N$154,"Student TransportationFocus Interventions",'9'!$G$135:$G$154)</f>
        <v>0</v>
      </c>
      <c r="F56" s="50">
        <f>SUMIF('9'!$N$99:$N$116,"Student TransportationFocus Interventions",'9'!$G$165:$G$189)</f>
        <v>0</v>
      </c>
      <c r="G56" s="50">
        <f>SUMIF('9'!$N$200:$N$229,"Student TransportationFocus Interventions",'9'!$G$200:$G$229)</f>
        <v>0</v>
      </c>
      <c r="H56" s="50">
        <f>SUMIF('9'!$N$240:$N$265,"Student TransportationFocus Interventions",'9'!$G$240:$G$265)</f>
        <v>0</v>
      </c>
      <c r="I56" s="50">
        <f>SUMIF('9'!$N$276:$N$300,"Student TransportationFocus Interventions",'9'!$G$276:$G$300)</f>
        <v>0</v>
      </c>
      <c r="J56" s="170">
        <f t="shared" si="5"/>
        <v>0</v>
      </c>
      <c r="K56" s="840"/>
    </row>
    <row r="57" spans="1:11" x14ac:dyDescent="0.2">
      <c r="A57" s="852"/>
      <c r="B57" s="856"/>
      <c r="C57" s="36" t="s">
        <v>585</v>
      </c>
      <c r="D57" s="49">
        <f>SUMIF('9'!$N$15:$N$124,"Student TransportationOther Supports",'9'!$G$15:$G$124)</f>
        <v>0</v>
      </c>
      <c r="E57" s="50">
        <f>SUMIF('9'!$N$135:$N$154,"Student TransportationOther Supports",'9'!$G$135:$G$154)</f>
        <v>0</v>
      </c>
      <c r="F57" s="50">
        <f>SUMIF('9'!$N$99:$N$116,"Student TransportationOther Supports",'9'!$G$165:$G$189)</f>
        <v>0</v>
      </c>
      <c r="G57" s="50">
        <f>SUMIF('9'!$N$200:$N$229,"Student TransportationOther Supports",'9'!$G$200:$G$229)</f>
        <v>0</v>
      </c>
      <c r="H57" s="50">
        <f>SUMIF('9'!$N$240:$N$265,"Student TransportationOther Supports",'9'!$G$240:$G$265)</f>
        <v>0</v>
      </c>
      <c r="I57" s="50">
        <f>SUMIF('9'!$N$276:$N$300,"Student TransportationOther Supports",'9'!$G$276:$G$300)</f>
        <v>0</v>
      </c>
      <c r="J57" s="170">
        <f t="shared" si="5"/>
        <v>0</v>
      </c>
      <c r="K57" s="840"/>
    </row>
    <row r="58" spans="1:11" x14ac:dyDescent="0.2">
      <c r="A58" s="852"/>
      <c r="B58" s="856"/>
      <c r="C58" s="36" t="s">
        <v>106</v>
      </c>
      <c r="D58" s="49">
        <f>SUMIF('9'!$N$22:$N$66,"Student TransportationFinancial Incentives",'9'!$G$22:$G$124)</f>
        <v>0</v>
      </c>
      <c r="E58" s="50">
        <f>SUMIF('9'!$N$135:$N$154,"Student TransportationFinancial Incentives",'9'!$G$135:$G$154)</f>
        <v>0</v>
      </c>
      <c r="F58" s="50">
        <f>SUMIF('9'!$N$99:$N$116,"Student TransportationFinancial Incentives",'9'!$G$165:$G$189)</f>
        <v>0</v>
      </c>
      <c r="G58" s="50">
        <f>SUMIF('9'!$N$200:$N$229,"Student TransportationFinancial Incentives",'9'!$G$200:$G$229)</f>
        <v>0</v>
      </c>
      <c r="H58" s="50">
        <f>SUMIF('9'!$N$240:$N$265,"Student TransportationFinancial Incentives",'9'!$G$240:$G$265)</f>
        <v>0</v>
      </c>
      <c r="I58" s="50">
        <f>SUMIF('9'!$N$276:$N$300,"Student TransportationFinancial Incentives",'9'!$G$276:$G$300)</f>
        <v>0</v>
      </c>
      <c r="J58" s="170">
        <f t="shared" si="5"/>
        <v>0</v>
      </c>
      <c r="K58" s="840"/>
    </row>
    <row r="59" spans="1:11" x14ac:dyDescent="0.2">
      <c r="A59" s="852"/>
      <c r="B59" s="856"/>
      <c r="C59" s="36" t="s">
        <v>141</v>
      </c>
      <c r="D59" s="49">
        <f>SUMIF('9'!$N$15:$N$124,"Student TransportationOff the Top Reserve",'9'!$G$15:$G$124)</f>
        <v>0</v>
      </c>
      <c r="E59" s="50">
        <f>SUMIF('9'!$N$135:$N$154,"Student TransportationOff the Top Reserve",'9'!$G$135:$G$154)</f>
        <v>0</v>
      </c>
      <c r="F59" s="50">
        <f>SUMIF('9'!$N$99:$N$116,"Student TransportationOff the Top Reserve",'9'!$G$165:$G$189)</f>
        <v>0</v>
      </c>
      <c r="G59" s="50">
        <f>SUMIF('9'!$N$200:$N$229,"Student TransportationOff the Top Reserve",'9'!$G$200:$G$229)</f>
        <v>0</v>
      </c>
      <c r="H59" s="50">
        <f>SUMIF('9'!$N$240:$N$265,"Student TransportationOff the Top Reserve",'9'!$G$240:$G$265)</f>
        <v>0</v>
      </c>
      <c r="I59" s="50">
        <f>SUMIF('9'!$N$276:$N$300,"Student TransportationOff the Top Reserve",'9'!$G$276:$G$300)</f>
        <v>0</v>
      </c>
      <c r="J59" s="170">
        <f t="shared" si="5"/>
        <v>0</v>
      </c>
      <c r="K59" s="840"/>
    </row>
    <row r="60" spans="1:11" x14ac:dyDescent="0.2">
      <c r="A60" s="852"/>
      <c r="B60" s="856"/>
      <c r="C60" s="36" t="s">
        <v>107</v>
      </c>
      <c r="D60" s="49">
        <f>SUMIF('9'!$N$15:$N$124,"Student TransportationHomeless",'9'!$G$15:$G$124)</f>
        <v>0</v>
      </c>
      <c r="E60" s="50">
        <f>SUMIF('9'!$N$135:$N$154,"Student TransportationHomeless",'9'!$G$135:$G$154)</f>
        <v>0</v>
      </c>
      <c r="F60" s="50">
        <f>SUMIF('9'!$N$99:$N$116,"Student TransportationHomeless",'9'!$G$165:$G$189)</f>
        <v>0</v>
      </c>
      <c r="G60" s="50">
        <f>SUMIF('9'!$N$200:$N$229,"Student TransportationHomeless",'9'!$G$200:$G$229)</f>
        <v>0</v>
      </c>
      <c r="H60" s="50">
        <f>SUMIF('9'!$N$240:$N$265,"Student TransportationHomeless",'9'!$G$240:$G$265)</f>
        <v>0</v>
      </c>
      <c r="I60" s="50">
        <f>SUMIF('9'!$N$276:$N$300,"Student TransportationHomeless",'9'!$G$276:$G$300)</f>
        <v>0</v>
      </c>
      <c r="J60" s="170">
        <f t="shared" si="5"/>
        <v>0</v>
      </c>
      <c r="K60" s="840"/>
    </row>
    <row r="61" spans="1:11" x14ac:dyDescent="0.2">
      <c r="A61" s="852"/>
      <c r="B61" s="856"/>
      <c r="C61" s="36" t="s">
        <v>110</v>
      </c>
      <c r="D61" s="49">
        <f>SUMIF('9'!$N$15:$N$124,"Student TransportationNeg. &amp; Delinquent",'9'!$G$15:$G$124)</f>
        <v>0</v>
      </c>
      <c r="E61" s="50">
        <f>SUMIF('9'!$N$135:$N$154,"Student TransportationNeg. &amp; Delinquent",'9'!$G$135:$G$154)</f>
        <v>0</v>
      </c>
      <c r="F61" s="50">
        <f>SUMIF('9'!$N$99:$N$116,"Student TransportationNeg. &amp; Delinquent",'9'!$G$165:$G$189)</f>
        <v>0</v>
      </c>
      <c r="G61" s="50">
        <f>SUMIF('9'!$N$200:$N$229,"Student TransportationNeg. &amp; Delinquent",'9'!$G$200:$G$229)</f>
        <v>0</v>
      </c>
      <c r="H61" s="50">
        <f>SUMIF('9'!$N$240:$N$265,"Student TransportationNeg. &amp; Delinquent",'9'!$G$240:$G$265)</f>
        <v>0</v>
      </c>
      <c r="I61" s="50">
        <f>SUMIF('9'!$N$276:$N$300,"Student TransportationNeg. &amp; Delinquent",'9'!$G$276:$G$300)</f>
        <v>0</v>
      </c>
      <c r="J61" s="170">
        <f t="shared" si="5"/>
        <v>0</v>
      </c>
      <c r="K61" s="840"/>
    </row>
    <row r="62" spans="1:11" x14ac:dyDescent="0.2">
      <c r="A62" s="852"/>
      <c r="B62" s="856"/>
      <c r="C62" s="36" t="s">
        <v>108</v>
      </c>
      <c r="D62" s="49">
        <f>SUMIF('9'!$N$15:$N$124,"Student TransportationEquitable Services",'9'!$G$15:$G$124)</f>
        <v>0</v>
      </c>
      <c r="E62" s="50">
        <f>SUMIF('9'!$N$135:$N$154,"Student TransportationEquitable Services",'9'!$G$135:$G$154)</f>
        <v>0</v>
      </c>
      <c r="F62" s="50">
        <f>SUMIF('9'!$N$99:$N$116,"Student TransportationEquitable Services",'9'!$G$165:$G$189)</f>
        <v>0</v>
      </c>
      <c r="G62" s="50">
        <f>SUMIF('9'!$N$200:$N$229,"Student TransportationEquitable Services",'9'!$G$200:$G$229)</f>
        <v>0</v>
      </c>
      <c r="H62" s="50">
        <f>SUMIF('9'!$N$240:$N$265,"Student TransportationEquitable Services",'9'!$G$240:$G$265)</f>
        <v>0</v>
      </c>
      <c r="I62" s="50">
        <f>SUMIF('9'!$N$276:$N$300,"Student TransportationEquitable Services",'9'!$G$276:$G$300)</f>
        <v>0</v>
      </c>
      <c r="J62" s="170">
        <f t="shared" si="5"/>
        <v>0</v>
      </c>
      <c r="K62" s="840"/>
    </row>
    <row r="63" spans="1:11" ht="13.5" thickBot="1" x14ac:dyDescent="0.25">
      <c r="A63" s="852"/>
      <c r="B63" s="945"/>
      <c r="C63" s="37" t="s">
        <v>112</v>
      </c>
      <c r="D63" s="38">
        <f t="shared" ref="D63:I63" ca="1" si="6">SUM(D53:D62)</f>
        <v>0</v>
      </c>
      <c r="E63" s="38">
        <f t="shared" si="6"/>
        <v>0</v>
      </c>
      <c r="F63" s="38">
        <f t="shared" si="6"/>
        <v>0</v>
      </c>
      <c r="G63" s="38">
        <f t="shared" si="6"/>
        <v>847500</v>
      </c>
      <c r="H63" s="38">
        <f t="shared" si="6"/>
        <v>0</v>
      </c>
      <c r="I63" s="38">
        <f t="shared" si="6"/>
        <v>0</v>
      </c>
      <c r="J63" s="41">
        <f t="shared" ca="1" si="5"/>
        <v>847500</v>
      </c>
      <c r="K63" s="840"/>
    </row>
    <row r="64" spans="1:11" ht="12.75" customHeight="1" x14ac:dyDescent="0.2">
      <c r="A64" s="852"/>
      <c r="B64" s="854" t="s">
        <v>52</v>
      </c>
      <c r="C64" s="35" t="s">
        <v>360</v>
      </c>
      <c r="D64" s="47">
        <f>SUMIF('9'!$N$15:$N$124,"OtherNON SETASIDE",'9'!$G$15:$G$124)</f>
        <v>0</v>
      </c>
      <c r="E64" s="48">
        <f>SUMIF('9'!$N$135:$N$154,"OtherNON SETASIDE",'9'!$G$135:$G$154)</f>
        <v>0</v>
      </c>
      <c r="F64" s="48">
        <f>SUMIF('9'!$N$99:$N$116,"OtherNON SETASIDE",'9'!$G$165:$G$189)</f>
        <v>0</v>
      </c>
      <c r="G64" s="48">
        <f>SUMIF('9'!$N$200:$N$229,"OtherNON SETASIDE",'9'!$G$200:$G$229)</f>
        <v>0</v>
      </c>
      <c r="H64" s="48">
        <f>SUMIF('9'!$N$240:$N$265,"OtherNON SETASIDE",'9'!$G$240:$G$265)</f>
        <v>0</v>
      </c>
      <c r="I64" s="48">
        <f>SUMIF('9'!$N$276:$N$300,"OtherNON SETASIDE",'9'!$G$276:$G$300)</f>
        <v>0</v>
      </c>
      <c r="J64" s="169">
        <f t="shared" si="0"/>
        <v>0</v>
      </c>
      <c r="K64" s="840"/>
    </row>
    <row r="65" spans="1:11" x14ac:dyDescent="0.2">
      <c r="A65" s="852"/>
      <c r="B65" s="856"/>
      <c r="C65" s="36" t="s">
        <v>111</v>
      </c>
      <c r="D65" s="49">
        <f>SUMIF('9'!$N$15:$N$124,"OtherParent Involvement",'9'!$G$15:$G$124)</f>
        <v>0</v>
      </c>
      <c r="E65" s="50">
        <f>SUMIF('9'!$N$135:$N$154,"OtherParent Involvement",'9'!$G$135:$G$154)</f>
        <v>0</v>
      </c>
      <c r="F65" s="50">
        <f>SUMIF('9'!$N$99:$N$116,"OtherParent Involvement",'9'!$G$165:$G$189)</f>
        <v>0</v>
      </c>
      <c r="G65" s="50">
        <f>SUMIF('9'!$N$200:$N$229,"OtherParent Involvement",'9'!$G$200:$G$229)</f>
        <v>0</v>
      </c>
      <c r="H65" s="50">
        <f>SUMIF('9'!$N$240:$N$265,"OtherParent Involvement",'9'!$G$240:$G$265)</f>
        <v>0</v>
      </c>
      <c r="I65" s="50">
        <f>SUMIF('9'!$N$276:$N$300,"OtherParent Involvement",'9'!$G$276:$G$300)</f>
        <v>0</v>
      </c>
      <c r="J65" s="170">
        <f t="shared" si="0"/>
        <v>0</v>
      </c>
      <c r="K65" s="840"/>
    </row>
    <row r="66" spans="1:11" x14ac:dyDescent="0.2">
      <c r="A66" s="852"/>
      <c r="B66" s="856"/>
      <c r="C66" s="36" t="s">
        <v>583</v>
      </c>
      <c r="D66" s="49">
        <f>SUMIF('9'!$N$15:$N$124,"OtherPriority Interventions",'9'!$G$15:$G$124)</f>
        <v>0</v>
      </c>
      <c r="E66" s="50">
        <f>SUMIF('9'!$N$135:$N$154,"OtherPriority Interventions",'9'!$G$135:$G$154)</f>
        <v>0</v>
      </c>
      <c r="F66" s="50">
        <f>SUMIF('9'!$N$99:$N$116,"OtherPriority Interventions",'9'!$G$165:$G$189)</f>
        <v>0</v>
      </c>
      <c r="G66" s="50">
        <f>SUMIF('9'!$N$200:$N$229,"OtherPriority Interventions",'9'!$G$200:$G$229)</f>
        <v>0</v>
      </c>
      <c r="H66" s="50">
        <f>SUMIF('9'!$N$240:$N$265,"OtherPriority Interventions",'9'!$G$240:$G$265)</f>
        <v>0</v>
      </c>
      <c r="I66" s="50">
        <f>SUMIF('9'!$N$276:$N$300,"OtherPriority Interventions",'9'!$G$276:$G$300)</f>
        <v>0</v>
      </c>
      <c r="J66" s="170">
        <f t="shared" si="0"/>
        <v>0</v>
      </c>
      <c r="K66" s="840"/>
    </row>
    <row r="67" spans="1:11" x14ac:dyDescent="0.2">
      <c r="A67" s="852"/>
      <c r="B67" s="856"/>
      <c r="C67" s="36" t="s">
        <v>584</v>
      </c>
      <c r="D67" s="49">
        <f>SUMIF('9'!$N$15:$N$124,"OtherFocus Interventions",'9'!$G$15:$G$124)</f>
        <v>0</v>
      </c>
      <c r="E67" s="50">
        <f>SUMIF('9'!$N$135:$N$154,"OtherFocus Interventions",'9'!$G$135:$G$154)</f>
        <v>0</v>
      </c>
      <c r="F67" s="50">
        <f>SUMIF('9'!$N$99:$N$116,"OtherFocus Interventions",'9'!$G$165:$G$189)</f>
        <v>0</v>
      </c>
      <c r="G67" s="50">
        <f>SUMIF('9'!$N$200:$N$229,"OtherFocus Interventions",'9'!$G$200:$G$229)</f>
        <v>0</v>
      </c>
      <c r="H67" s="50">
        <f>SUMIF('9'!$N$240:$N$265,"OtherFocus Interventions",'9'!$G$240:$G$265)</f>
        <v>0</v>
      </c>
      <c r="I67" s="50">
        <f>SUMIF('9'!$N$276:$N$300,"OtherFocus Interventions",'9'!$G$276:$G$300)</f>
        <v>0</v>
      </c>
      <c r="J67" s="170">
        <f t="shared" si="0"/>
        <v>0</v>
      </c>
      <c r="K67" s="840"/>
    </row>
    <row r="68" spans="1:11" x14ac:dyDescent="0.2">
      <c r="A68" s="852"/>
      <c r="B68" s="856"/>
      <c r="C68" s="36" t="s">
        <v>585</v>
      </c>
      <c r="D68" s="49">
        <f>SUMIF('9'!$N$15:$N$124,"OtherOther Supports",'9'!$G$15:$G$124)</f>
        <v>0</v>
      </c>
      <c r="E68" s="50">
        <f>SUMIF('9'!$N$135:$N$154,"OtherOther Supports",'9'!$G$135:$G$154)</f>
        <v>0</v>
      </c>
      <c r="F68" s="50">
        <f>SUMIF('9'!$N$99:$N$116,"OtherOther Supports",'9'!$G$165:$G$189)</f>
        <v>0</v>
      </c>
      <c r="G68" s="50">
        <f>SUMIF('9'!$N$200:$N$229,"OtherOther Supports",'9'!$G$200:$G$229)</f>
        <v>0</v>
      </c>
      <c r="H68" s="50">
        <f>SUMIF('9'!$N$240:$N$265,"OtherOther Supports",'9'!$G$240:$G$265)</f>
        <v>0</v>
      </c>
      <c r="I68" s="50">
        <f>SUMIF('9'!$N$276:$N$300,"OtherOther Supports",'9'!$G$276:$G$300)</f>
        <v>0</v>
      </c>
      <c r="J68" s="170">
        <f t="shared" si="0"/>
        <v>0</v>
      </c>
      <c r="K68" s="840"/>
    </row>
    <row r="69" spans="1:11" x14ac:dyDescent="0.2">
      <c r="A69" s="852"/>
      <c r="B69" s="856"/>
      <c r="C69" s="36" t="s">
        <v>106</v>
      </c>
      <c r="D69" s="49">
        <f>SUMIF('9'!$N$15:$N$124,"OtherFinancial Incentives",'9'!$G$15:$G$124)</f>
        <v>0</v>
      </c>
      <c r="E69" s="50">
        <f>SUMIF('9'!$N$135:$N$154,"OtherFinancial Incentives",'9'!$G$135:$G$154)</f>
        <v>0</v>
      </c>
      <c r="F69" s="50">
        <f>SUMIF('9'!$N$99:$N$116,"OtherFinancial Incentives",'9'!$G$165:$G$189)</f>
        <v>0</v>
      </c>
      <c r="G69" s="50">
        <f>SUMIF('9'!$N$200:$N$229,"OtherFinancial Incentives",'9'!$G$200:$G$229)</f>
        <v>0</v>
      </c>
      <c r="H69" s="50">
        <f>SUMIF('9'!$N$240:$N$265,"OtherFinancial Incentives",'9'!$G$240:$G$265)</f>
        <v>0</v>
      </c>
      <c r="I69" s="50">
        <f>SUMIF('9'!$N$276:$N$300,"OtherFinancial Incentives",'9'!$G$276:$G$300)</f>
        <v>0</v>
      </c>
      <c r="J69" s="170">
        <f t="shared" si="0"/>
        <v>0</v>
      </c>
      <c r="K69" s="840"/>
    </row>
    <row r="70" spans="1:11" x14ac:dyDescent="0.2">
      <c r="A70" s="852"/>
      <c r="B70" s="856"/>
      <c r="C70" s="36" t="s">
        <v>141</v>
      </c>
      <c r="D70" s="49">
        <f>SUMIF('9'!$N$15:$N$124,"OtherOff the Top Reserve",'9'!$G$15:$G$124)</f>
        <v>0</v>
      </c>
      <c r="E70" s="50">
        <f>SUMIF('9'!$N$135:$N$154,"OtherOff the Top Reserve",'9'!$G$135:$G$154)</f>
        <v>0</v>
      </c>
      <c r="F70" s="50">
        <f>SUMIF('9'!$N$99:$N$116,"OtherOff the Top Reserve",'9'!$G$165:$G$189)</f>
        <v>0</v>
      </c>
      <c r="G70" s="50">
        <f>SUMIF('9'!$N$200:$N$229,"OtherOff the Top Reserve",'9'!$G$200:$G$229)</f>
        <v>0</v>
      </c>
      <c r="H70" s="50">
        <f>SUMIF('9'!$N$240:$N$265,"OtherOff the Top Reserve",'9'!$G$240:$G$265)</f>
        <v>0</v>
      </c>
      <c r="I70" s="50">
        <f>SUMIF('9'!$N$276:$N$300,"OtherOff the Top Reserve",'9'!$G$276:$G$300)</f>
        <v>0</v>
      </c>
      <c r="J70" s="170">
        <f t="shared" si="0"/>
        <v>0</v>
      </c>
      <c r="K70" s="840"/>
    </row>
    <row r="71" spans="1:11" x14ac:dyDescent="0.2">
      <c r="A71" s="852"/>
      <c r="B71" s="856"/>
      <c r="C71" s="36" t="s">
        <v>107</v>
      </c>
      <c r="D71" s="49">
        <f>SUMIF('9'!$N$15:$N$124,"OtherHomeless",'9'!$G$15:$G$124)</f>
        <v>0</v>
      </c>
      <c r="E71" s="50">
        <f>SUMIF('9'!$N$135:$N$154,"OtherHomeless",'9'!$G$135:$G$154)</f>
        <v>0</v>
      </c>
      <c r="F71" s="50">
        <f>SUMIF('9'!$N$99:$N$116,"OtherHomeless",'9'!$G$165:$G$189)</f>
        <v>0</v>
      </c>
      <c r="G71" s="50">
        <f>SUMIF('9'!$N$200:$N$229,"OtherHomeless",'9'!$G$200:$G$229)</f>
        <v>0</v>
      </c>
      <c r="H71" s="50">
        <f>SUMIF('9'!$N$240:$N$265,"OtherHomeless",'9'!$G$240:$G$265)</f>
        <v>0</v>
      </c>
      <c r="I71" s="50">
        <f>SUMIF('9'!$N$276:$N$300,"OtherHomeless",'9'!$G$276:$G$300)</f>
        <v>0</v>
      </c>
      <c r="J71" s="170">
        <f t="shared" si="0"/>
        <v>0</v>
      </c>
      <c r="K71" s="840"/>
    </row>
    <row r="72" spans="1:11" x14ac:dyDescent="0.2">
      <c r="A72" s="852"/>
      <c r="B72" s="856"/>
      <c r="C72" s="36" t="s">
        <v>110</v>
      </c>
      <c r="D72" s="49">
        <f>SUMIF('9'!$N$15:$N$124,"OtherNeg. &amp; Delinquent",'9'!$G$15:$G$124)</f>
        <v>0</v>
      </c>
      <c r="E72" s="50">
        <f>SUMIF('9'!$N$135:$N$154,"OtherNeg. &amp; Delinquent",'9'!$G$135:$G$154)</f>
        <v>0</v>
      </c>
      <c r="F72" s="50">
        <f>SUMIF('9'!$N$99:$N$116,"OtherNeg. &amp; Delinquent",'9'!$G$165:$G$189)</f>
        <v>0</v>
      </c>
      <c r="G72" s="50">
        <f>SUMIF('9'!$N$200:$N$229,"OtherNeg. &amp; Delinquent",'9'!$G$200:$G$229)</f>
        <v>0</v>
      </c>
      <c r="H72" s="50">
        <f>SUMIF('9'!$N$240:$N$265,"OtherNeg. &amp; Delinquent",'9'!$G$240:$G$265)</f>
        <v>0</v>
      </c>
      <c r="I72" s="50">
        <f>SUMIF('9'!$N$276:$N$300,"OtherNeg. &amp; Delinquent",'9'!$G$276:$G$300)</f>
        <v>0</v>
      </c>
      <c r="J72" s="170">
        <f t="shared" si="0"/>
        <v>0</v>
      </c>
      <c r="K72" s="840"/>
    </row>
    <row r="73" spans="1:11" x14ac:dyDescent="0.2">
      <c r="A73" s="852"/>
      <c r="B73" s="856"/>
      <c r="C73" s="36" t="s">
        <v>108</v>
      </c>
      <c r="D73" s="49">
        <f>SUMIF('9'!$N$15:$N$124,"OtherEquitable Services",'9'!$G$15:$G$124)</f>
        <v>0</v>
      </c>
      <c r="E73" s="50">
        <f>SUMIF('9'!$N$135:$N$154,"OtherEquitable Services",'9'!$G$135:$G$154)</f>
        <v>0</v>
      </c>
      <c r="F73" s="50">
        <f>SUMIF('9'!$N$99:$N$116,"OtherEquitable Services",'9'!$G$165:$G$189)</f>
        <v>0</v>
      </c>
      <c r="G73" s="50">
        <f>SUMIF('9'!$N$200:$N$229,"OtherEquitable Services",'9'!$G$200:$G$229)</f>
        <v>0</v>
      </c>
      <c r="H73" s="50">
        <f>SUMIF('9'!$N$240:$N$265,"OtherEquitable Services",'9'!$G$240:$G$265)</f>
        <v>0</v>
      </c>
      <c r="I73" s="50">
        <f>SUMIF('9'!$N$276:$N$300,"OtherEquitable Services",'9'!$G$276:$G$300)</f>
        <v>0</v>
      </c>
      <c r="J73" s="170">
        <f t="shared" si="0"/>
        <v>0</v>
      </c>
      <c r="K73" s="840"/>
    </row>
    <row r="74" spans="1:11" ht="13.5" thickBot="1" x14ac:dyDescent="0.25">
      <c r="A74" s="852"/>
      <c r="B74" s="945"/>
      <c r="C74" s="37" t="s">
        <v>112</v>
      </c>
      <c r="D74" s="38">
        <f t="shared" ref="D74:I74" si="7">SUM(D64:D73)</f>
        <v>0</v>
      </c>
      <c r="E74" s="38">
        <f t="shared" si="7"/>
        <v>0</v>
      </c>
      <c r="F74" s="38">
        <f t="shared" si="7"/>
        <v>0</v>
      </c>
      <c r="G74" s="38">
        <f t="shared" si="7"/>
        <v>0</v>
      </c>
      <c r="H74" s="38">
        <f t="shared" si="7"/>
        <v>0</v>
      </c>
      <c r="I74" s="38">
        <f t="shared" si="7"/>
        <v>0</v>
      </c>
      <c r="J74" s="41">
        <f t="shared" si="0"/>
        <v>0</v>
      </c>
      <c r="K74" s="840"/>
    </row>
    <row r="75" spans="1:11" ht="12.75" customHeight="1" x14ac:dyDescent="0.2">
      <c r="A75" s="852"/>
      <c r="B75" s="858" t="s">
        <v>113</v>
      </c>
      <c r="C75" s="43" t="s">
        <v>360</v>
      </c>
      <c r="D75" s="51">
        <f t="shared" ref="D75:I75" ca="1" si="8">SUM(D9,D20,D31,D42,D53,D64)</f>
        <v>2584411.9900000002</v>
      </c>
      <c r="E75" s="52">
        <f t="shared" si="8"/>
        <v>126340.9</v>
      </c>
      <c r="F75" s="52">
        <f t="shared" si="8"/>
        <v>0</v>
      </c>
      <c r="G75" s="52">
        <f t="shared" si="8"/>
        <v>1448030.52</v>
      </c>
      <c r="H75" s="52">
        <f t="shared" si="8"/>
        <v>0</v>
      </c>
      <c r="I75" s="52">
        <f t="shared" si="8"/>
        <v>335151.17000000004</v>
      </c>
      <c r="J75" s="44">
        <f t="shared" ref="J75:J84" ca="1" si="9">SUM(D75:I75)</f>
        <v>4493934.58</v>
      </c>
      <c r="K75" s="840"/>
    </row>
    <row r="76" spans="1:11" x14ac:dyDescent="0.2">
      <c r="A76" s="852"/>
      <c r="B76" s="860"/>
      <c r="C76" s="45" t="s">
        <v>111</v>
      </c>
      <c r="D76" s="53">
        <f t="shared" ref="D76:I76" si="10">SUM(D10,D21,D32,D43,D54,D65)</f>
        <v>0</v>
      </c>
      <c r="E76" s="54">
        <f t="shared" si="10"/>
        <v>14764</v>
      </c>
      <c r="F76" s="54">
        <f t="shared" si="10"/>
        <v>0</v>
      </c>
      <c r="G76" s="54">
        <f t="shared" si="10"/>
        <v>27997.96</v>
      </c>
      <c r="H76" s="54">
        <f t="shared" si="10"/>
        <v>0</v>
      </c>
      <c r="I76" s="54">
        <f t="shared" si="10"/>
        <v>242058.14</v>
      </c>
      <c r="J76" s="46">
        <f t="shared" si="9"/>
        <v>284820.10000000003</v>
      </c>
      <c r="K76" s="840"/>
    </row>
    <row r="77" spans="1:11" x14ac:dyDescent="0.2">
      <c r="A77" s="852"/>
      <c r="B77" s="860"/>
      <c r="C77" s="45" t="s">
        <v>583</v>
      </c>
      <c r="D77" s="53">
        <f t="shared" ref="D77:I77" si="11">SUM(D11,D22,D33,D44,D55,D66)</f>
        <v>2305890.9</v>
      </c>
      <c r="E77" s="54">
        <f t="shared" si="11"/>
        <v>466745.52</v>
      </c>
      <c r="F77" s="54">
        <f t="shared" si="11"/>
        <v>0</v>
      </c>
      <c r="G77" s="54">
        <f t="shared" si="11"/>
        <v>1013030</v>
      </c>
      <c r="H77" s="54">
        <f t="shared" si="11"/>
        <v>0</v>
      </c>
      <c r="I77" s="54">
        <f t="shared" si="11"/>
        <v>169587.62000000002</v>
      </c>
      <c r="J77" s="46">
        <f t="shared" si="9"/>
        <v>3955254.04</v>
      </c>
      <c r="K77" s="840"/>
    </row>
    <row r="78" spans="1:11" x14ac:dyDescent="0.2">
      <c r="A78" s="852"/>
      <c r="B78" s="860"/>
      <c r="C78" s="45" t="s">
        <v>584</v>
      </c>
      <c r="D78" s="53">
        <f t="shared" ref="D78:I78" si="12">SUM(D12,D23,D34,D45,D56,D67)</f>
        <v>578019.50999999989</v>
      </c>
      <c r="E78" s="54">
        <f t="shared" si="12"/>
        <v>306626.25</v>
      </c>
      <c r="F78" s="54">
        <f t="shared" si="12"/>
        <v>0</v>
      </c>
      <c r="G78" s="54">
        <f t="shared" si="12"/>
        <v>535044</v>
      </c>
      <c r="H78" s="54">
        <f t="shared" si="12"/>
        <v>0</v>
      </c>
      <c r="I78" s="54">
        <f t="shared" si="12"/>
        <v>35303.18</v>
      </c>
      <c r="J78" s="46">
        <f t="shared" si="9"/>
        <v>1454992.9399999997</v>
      </c>
      <c r="K78" s="840"/>
    </row>
    <row r="79" spans="1:11" x14ac:dyDescent="0.2">
      <c r="A79" s="852"/>
      <c r="B79" s="860"/>
      <c r="C79" s="45" t="s">
        <v>585</v>
      </c>
      <c r="D79" s="53">
        <f t="shared" ref="D79:I79" si="13">SUM(D13,D24,D35,D46,D57,D68)</f>
        <v>0</v>
      </c>
      <c r="E79" s="54">
        <f t="shared" si="13"/>
        <v>0</v>
      </c>
      <c r="F79" s="54">
        <f t="shared" si="13"/>
        <v>0</v>
      </c>
      <c r="G79" s="54">
        <f t="shared" si="13"/>
        <v>0</v>
      </c>
      <c r="H79" s="54">
        <f t="shared" si="13"/>
        <v>0</v>
      </c>
      <c r="I79" s="54">
        <f t="shared" si="13"/>
        <v>4840.12</v>
      </c>
      <c r="J79" s="46">
        <f t="shared" si="9"/>
        <v>4840.12</v>
      </c>
      <c r="K79" s="840"/>
    </row>
    <row r="80" spans="1:11" x14ac:dyDescent="0.2">
      <c r="A80" s="852"/>
      <c r="B80" s="860"/>
      <c r="C80" s="45" t="s">
        <v>106</v>
      </c>
      <c r="D80" s="53">
        <f t="shared" ref="D80:I80" si="14">SUM(D14,D25,D36,D47,D58,D69)</f>
        <v>0</v>
      </c>
      <c r="E80" s="54">
        <f t="shared" si="14"/>
        <v>0</v>
      </c>
      <c r="F80" s="54">
        <f t="shared" si="14"/>
        <v>0</v>
      </c>
      <c r="G80" s="54">
        <f t="shared" si="14"/>
        <v>0</v>
      </c>
      <c r="H80" s="54">
        <f t="shared" si="14"/>
        <v>0</v>
      </c>
      <c r="I80" s="54">
        <f t="shared" si="14"/>
        <v>0</v>
      </c>
      <c r="J80" s="46">
        <f t="shared" si="9"/>
        <v>0</v>
      </c>
      <c r="K80" s="840"/>
    </row>
    <row r="81" spans="1:14" x14ac:dyDescent="0.2">
      <c r="A81" s="852"/>
      <c r="B81" s="860"/>
      <c r="C81" s="45" t="s">
        <v>141</v>
      </c>
      <c r="D81" s="53">
        <f t="shared" ref="D81:I81" si="15">SUM(D15,D26,D37,D48,D59,D70)</f>
        <v>0</v>
      </c>
      <c r="E81" s="54">
        <f t="shared" si="15"/>
        <v>0</v>
      </c>
      <c r="F81" s="54">
        <f t="shared" si="15"/>
        <v>0</v>
      </c>
      <c r="G81" s="54">
        <f t="shared" si="15"/>
        <v>0</v>
      </c>
      <c r="H81" s="54">
        <f t="shared" si="15"/>
        <v>0</v>
      </c>
      <c r="I81" s="54">
        <f t="shared" si="15"/>
        <v>0</v>
      </c>
      <c r="J81" s="46">
        <f t="shared" si="9"/>
        <v>0</v>
      </c>
      <c r="K81" s="840"/>
    </row>
    <row r="82" spans="1:14" x14ac:dyDescent="0.2">
      <c r="A82" s="852"/>
      <c r="B82" s="860"/>
      <c r="C82" s="45" t="s">
        <v>107</v>
      </c>
      <c r="D82" s="53">
        <f t="shared" ref="D82:I82" si="16">SUM(D16,D27,D38,D49,D60,D71)</f>
        <v>84624.56</v>
      </c>
      <c r="E82" s="54">
        <f t="shared" si="16"/>
        <v>30000</v>
      </c>
      <c r="F82" s="54">
        <f t="shared" si="16"/>
        <v>0</v>
      </c>
      <c r="G82" s="54">
        <f t="shared" si="16"/>
        <v>46100</v>
      </c>
      <c r="H82" s="54">
        <f t="shared" si="16"/>
        <v>0</v>
      </c>
      <c r="I82" s="54">
        <f t="shared" si="16"/>
        <v>5500</v>
      </c>
      <c r="J82" s="46">
        <f t="shared" si="9"/>
        <v>166224.56</v>
      </c>
      <c r="K82" s="840"/>
      <c r="N82" s="230"/>
    </row>
    <row r="83" spans="1:14" x14ac:dyDescent="0.2">
      <c r="A83" s="852"/>
      <c r="B83" s="860"/>
      <c r="C83" s="45" t="s">
        <v>110</v>
      </c>
      <c r="D83" s="53">
        <f t="shared" ref="D83:I83" si="17">SUM(D17,D28,D39,D50,D61,D72)</f>
        <v>15821.61</v>
      </c>
      <c r="E83" s="54">
        <f t="shared" si="17"/>
        <v>34731.33</v>
      </c>
      <c r="F83" s="54">
        <f t="shared" si="17"/>
        <v>0</v>
      </c>
      <c r="G83" s="54">
        <f t="shared" si="17"/>
        <v>64288</v>
      </c>
      <c r="H83" s="54">
        <f t="shared" si="17"/>
        <v>0</v>
      </c>
      <c r="I83" s="54">
        <f t="shared" si="17"/>
        <v>17659.939999999999</v>
      </c>
      <c r="J83" s="46">
        <f t="shared" si="9"/>
        <v>132500.88</v>
      </c>
      <c r="K83" s="840"/>
    </row>
    <row r="84" spans="1:14" x14ac:dyDescent="0.2">
      <c r="A84" s="852"/>
      <c r="B84" s="860"/>
      <c r="C84" s="45" t="s">
        <v>108</v>
      </c>
      <c r="D84" s="53">
        <f t="shared" ref="D84:I84" si="18">SUM(D18,D29,D40,D51,D62,D73)</f>
        <v>0</v>
      </c>
      <c r="E84" s="54">
        <f t="shared" si="18"/>
        <v>0</v>
      </c>
      <c r="F84" s="54">
        <f t="shared" si="18"/>
        <v>0</v>
      </c>
      <c r="G84" s="54">
        <f t="shared" si="18"/>
        <v>1882640.16</v>
      </c>
      <c r="H84" s="54">
        <f t="shared" si="18"/>
        <v>0</v>
      </c>
      <c r="I84" s="54">
        <f t="shared" si="18"/>
        <v>0</v>
      </c>
      <c r="J84" s="46">
        <f t="shared" si="9"/>
        <v>1882640.16</v>
      </c>
      <c r="K84" s="840"/>
    </row>
    <row r="85" spans="1:14" ht="13.5" thickBot="1" x14ac:dyDescent="0.25">
      <c r="A85" s="853"/>
      <c r="B85" s="946"/>
      <c r="C85" s="39" t="s">
        <v>114</v>
      </c>
      <c r="D85" s="40">
        <f t="shared" ref="D85:I85" ca="1" si="19">SUM(D75:D84)</f>
        <v>5568768.5700000003</v>
      </c>
      <c r="E85" s="40">
        <f t="shared" si="19"/>
        <v>979208</v>
      </c>
      <c r="F85" s="40">
        <f t="shared" si="19"/>
        <v>0</v>
      </c>
      <c r="G85" s="40">
        <f t="shared" si="19"/>
        <v>5017130.6399999997</v>
      </c>
      <c r="H85" s="40">
        <f t="shared" si="19"/>
        <v>0</v>
      </c>
      <c r="I85" s="40">
        <f t="shared" si="19"/>
        <v>810100.17</v>
      </c>
      <c r="J85" s="42">
        <f ca="1">SUM(D85:I85)</f>
        <v>12375207.380000001</v>
      </c>
      <c r="K85" s="841"/>
    </row>
    <row r="86" spans="1:14" ht="13.5" thickTop="1" x14ac:dyDescent="0.2">
      <c r="J86" s="313">
        <v>12375207.380000001</v>
      </c>
    </row>
    <row r="88" spans="1:14" x14ac:dyDescent="0.2">
      <c r="J88" s="314">
        <f ca="1">J86-J85</f>
        <v>0</v>
      </c>
    </row>
    <row r="89" spans="1:14" x14ac:dyDescent="0.2">
      <c r="J89" s="230">
        <v>199676.38999999998</v>
      </c>
    </row>
    <row r="90" spans="1:14" x14ac:dyDescent="0.2">
      <c r="J90" s="230">
        <f ca="1">SUM(J88:J89)</f>
        <v>199676.38999999998</v>
      </c>
    </row>
  </sheetData>
  <mergeCells count="18">
    <mergeCell ref="K1:K85"/>
    <mergeCell ref="G5:G8"/>
    <mergeCell ref="H5:H8"/>
    <mergeCell ref="I5:I8"/>
    <mergeCell ref="B31:B41"/>
    <mergeCell ref="B9:B19"/>
    <mergeCell ref="B20:B30"/>
    <mergeCell ref="B75:B85"/>
    <mergeCell ref="A9:A85"/>
    <mergeCell ref="A1:C8"/>
    <mergeCell ref="J5:J8"/>
    <mergeCell ref="D5:D8"/>
    <mergeCell ref="E5:E8"/>
    <mergeCell ref="F5:F8"/>
    <mergeCell ref="D1:J4"/>
    <mergeCell ref="B64:B74"/>
    <mergeCell ref="B42:B52"/>
    <mergeCell ref="B53:B63"/>
  </mergeCells>
  <conditionalFormatting sqref="K1">
    <cfRule type="cellIs" dxfId="48" priority="1" operator="equal">
      <formula>"The total amount for which you have budgeted does not match the unconsolidated portion of the LEA's Title I, Part A allocation."</formula>
    </cfRule>
  </conditionalFormatting>
  <pageMargins left="0.75" right="0.75" top="1" bottom="1" header="0.5" footer="0.5"/>
  <pageSetup scale="57" orientation="portrait" r:id="rId1"/>
  <headerFooter alignWithMargins="0">
    <oddHeader>&amp;LFFY 2012 Consolidated Application&amp;C&amp;A&amp;R&amp;P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87"/>
  <sheetViews>
    <sheetView topLeftCell="A4" zoomScale="87" zoomScaleNormal="87" workbookViewId="0">
      <selection activeCell="E58" sqref="D58:I60"/>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1" ht="12.75" customHeight="1" thickTop="1" x14ac:dyDescent="0.2">
      <c r="A1" s="573" t="s">
        <v>568</v>
      </c>
      <c r="B1" s="574"/>
      <c r="C1" s="574"/>
      <c r="D1" s="574"/>
      <c r="E1" s="574"/>
      <c r="F1" s="574"/>
      <c r="G1" s="574"/>
      <c r="H1" s="574"/>
      <c r="I1" s="574"/>
      <c r="J1" s="575"/>
      <c r="K1" s="94"/>
    </row>
    <row r="2" spans="1:11" ht="12.75" customHeight="1" x14ac:dyDescent="0.2">
      <c r="A2" s="576"/>
      <c r="B2" s="577"/>
      <c r="C2" s="577"/>
      <c r="D2" s="577"/>
      <c r="E2" s="577"/>
      <c r="F2" s="577"/>
      <c r="G2" s="577"/>
      <c r="H2" s="577"/>
      <c r="I2" s="577"/>
      <c r="J2" s="578"/>
      <c r="K2" s="95"/>
    </row>
    <row r="3" spans="1:11" ht="12.75" customHeight="1" x14ac:dyDescent="0.2">
      <c r="A3" s="673" t="s">
        <v>569</v>
      </c>
      <c r="B3" s="674"/>
      <c r="C3" s="674"/>
      <c r="D3" s="674"/>
      <c r="E3" s="674"/>
      <c r="F3" s="674"/>
      <c r="G3" s="674"/>
      <c r="H3" s="674"/>
      <c r="I3" s="674"/>
      <c r="J3" s="675"/>
      <c r="K3" s="95"/>
    </row>
    <row r="4" spans="1:11" ht="12.75" customHeight="1" x14ac:dyDescent="0.2">
      <c r="A4" s="705"/>
      <c r="B4" s="706"/>
      <c r="C4" s="706"/>
      <c r="D4" s="706"/>
      <c r="E4" s="706"/>
      <c r="F4" s="706"/>
      <c r="G4" s="706"/>
      <c r="H4" s="706"/>
      <c r="I4" s="706"/>
      <c r="J4" s="707"/>
      <c r="K4" s="95"/>
    </row>
    <row r="5" spans="1:11" ht="12.75" customHeight="1" x14ac:dyDescent="0.2">
      <c r="A5" s="705"/>
      <c r="B5" s="706"/>
      <c r="C5" s="706"/>
      <c r="D5" s="706"/>
      <c r="E5" s="706"/>
      <c r="F5" s="706"/>
      <c r="G5" s="706"/>
      <c r="H5" s="706"/>
      <c r="I5" s="706"/>
      <c r="J5" s="707"/>
      <c r="K5" s="95"/>
    </row>
    <row r="6" spans="1:11" ht="12.75" customHeight="1" x14ac:dyDescent="0.2">
      <c r="A6" s="676"/>
      <c r="B6" s="677"/>
      <c r="C6" s="677"/>
      <c r="D6" s="677"/>
      <c r="E6" s="677"/>
      <c r="F6" s="677"/>
      <c r="G6" s="677"/>
      <c r="H6" s="677"/>
      <c r="I6" s="677"/>
      <c r="J6" s="678"/>
      <c r="K6" s="95"/>
    </row>
    <row r="7" spans="1:11" ht="12.75" customHeight="1" x14ac:dyDescent="0.2">
      <c r="A7" s="708" t="s">
        <v>257</v>
      </c>
      <c r="B7" s="709"/>
      <c r="C7" s="709"/>
      <c r="D7" s="709"/>
      <c r="E7" s="709"/>
      <c r="F7" s="709"/>
      <c r="G7" s="709"/>
      <c r="H7" s="709"/>
      <c r="I7" s="709"/>
      <c r="J7" s="710"/>
      <c r="K7" s="95"/>
    </row>
    <row r="8" spans="1:11" ht="12.75" customHeight="1" x14ac:dyDescent="0.2">
      <c r="A8" s="711"/>
      <c r="B8" s="712"/>
      <c r="C8" s="712"/>
      <c r="D8" s="712"/>
      <c r="E8" s="712"/>
      <c r="F8" s="712"/>
      <c r="G8" s="712"/>
      <c r="H8" s="712"/>
      <c r="I8" s="712"/>
      <c r="J8" s="713"/>
      <c r="K8" s="95"/>
    </row>
    <row r="9" spans="1:11" ht="12.75" customHeight="1" x14ac:dyDescent="0.2">
      <c r="A9" s="711"/>
      <c r="B9" s="712"/>
      <c r="C9" s="712"/>
      <c r="D9" s="712"/>
      <c r="E9" s="712"/>
      <c r="F9" s="712"/>
      <c r="G9" s="712"/>
      <c r="H9" s="712"/>
      <c r="I9" s="712"/>
      <c r="J9" s="713"/>
      <c r="K9" s="95"/>
    </row>
    <row r="10" spans="1:11" ht="12.75" customHeight="1" x14ac:dyDescent="0.2">
      <c r="A10" s="711"/>
      <c r="B10" s="712"/>
      <c r="C10" s="712"/>
      <c r="D10" s="712"/>
      <c r="E10" s="712"/>
      <c r="F10" s="712"/>
      <c r="G10" s="712"/>
      <c r="H10" s="712"/>
      <c r="I10" s="712"/>
      <c r="J10" s="713"/>
      <c r="K10" s="95"/>
    </row>
    <row r="11" spans="1:11" ht="12.75" customHeight="1" x14ac:dyDescent="0.2">
      <c r="A11" s="711"/>
      <c r="B11" s="712"/>
      <c r="C11" s="712"/>
      <c r="D11" s="712"/>
      <c r="E11" s="712"/>
      <c r="F11" s="712"/>
      <c r="G11" s="712"/>
      <c r="H11" s="712"/>
      <c r="I11" s="712"/>
      <c r="J11" s="713"/>
      <c r="K11" s="95"/>
    </row>
    <row r="12" spans="1:11" ht="12.75" customHeight="1" x14ac:dyDescent="0.2">
      <c r="A12" s="711"/>
      <c r="B12" s="712"/>
      <c r="C12" s="712"/>
      <c r="D12" s="712"/>
      <c r="E12" s="712"/>
      <c r="F12" s="712"/>
      <c r="G12" s="712"/>
      <c r="H12" s="712"/>
      <c r="I12" s="712"/>
      <c r="J12" s="713"/>
      <c r="K12" s="95"/>
    </row>
    <row r="13" spans="1:11" ht="12.75" customHeight="1" x14ac:dyDescent="0.2">
      <c r="A13" s="711"/>
      <c r="B13" s="712"/>
      <c r="C13" s="712"/>
      <c r="D13" s="712"/>
      <c r="E13" s="712"/>
      <c r="F13" s="712"/>
      <c r="G13" s="712"/>
      <c r="H13" s="712"/>
      <c r="I13" s="712"/>
      <c r="J13" s="713"/>
      <c r="K13" s="95"/>
    </row>
    <row r="14" spans="1:11" s="61" customFormat="1" x14ac:dyDescent="0.2">
      <c r="A14" s="55"/>
      <c r="B14" s="56"/>
      <c r="C14" s="57"/>
      <c r="D14" s="58"/>
      <c r="E14" s="58"/>
      <c r="F14" s="58"/>
      <c r="G14" s="58"/>
      <c r="H14" s="59"/>
      <c r="I14" s="57"/>
      <c r="J14" s="60"/>
      <c r="K14" s="96"/>
    </row>
    <row r="15" spans="1:11" ht="13.5" thickBot="1" x14ac:dyDescent="0.25">
      <c r="A15" s="85"/>
      <c r="B15" s="69"/>
      <c r="C15" s="69"/>
      <c r="D15" s="69"/>
      <c r="E15" s="69"/>
      <c r="F15" s="69"/>
      <c r="G15" s="69"/>
      <c r="H15" s="69"/>
      <c r="I15" s="69"/>
      <c r="J15" s="83"/>
      <c r="K15" s="95"/>
    </row>
    <row r="16" spans="1:11" ht="13.5" customHeight="1" thickBot="1" x14ac:dyDescent="0.25">
      <c r="A16" s="87"/>
      <c r="B16" s="71" t="s">
        <v>23</v>
      </c>
      <c r="C16" s="72"/>
      <c r="D16" s="698" t="s">
        <v>258</v>
      </c>
      <c r="E16" s="698"/>
      <c r="F16" s="698"/>
      <c r="G16" s="698"/>
      <c r="H16" s="698"/>
      <c r="I16" s="698"/>
      <c r="J16" s="714"/>
      <c r="K16" s="95"/>
    </row>
    <row r="17" spans="1:11" ht="13.5" customHeight="1" x14ac:dyDescent="0.2">
      <c r="A17" s="87"/>
      <c r="B17" s="74"/>
      <c r="C17" s="72"/>
      <c r="D17" s="698"/>
      <c r="E17" s="698"/>
      <c r="F17" s="698"/>
      <c r="G17" s="698"/>
      <c r="H17" s="698"/>
      <c r="I17" s="698"/>
      <c r="J17" s="714"/>
      <c r="K17" s="95"/>
    </row>
    <row r="18" spans="1:11" ht="13.5" customHeight="1" x14ac:dyDescent="0.2">
      <c r="A18" s="87"/>
      <c r="B18" s="74"/>
      <c r="C18" s="72"/>
      <c r="D18" s="698"/>
      <c r="E18" s="698"/>
      <c r="F18" s="698"/>
      <c r="G18" s="698"/>
      <c r="H18" s="698"/>
      <c r="I18" s="698"/>
      <c r="J18" s="714"/>
      <c r="K18" s="95"/>
    </row>
    <row r="19" spans="1:11" ht="13.5" customHeight="1" x14ac:dyDescent="0.2">
      <c r="A19" s="87"/>
      <c r="B19" s="74"/>
      <c r="C19" s="72"/>
      <c r="D19" s="698"/>
      <c r="E19" s="698"/>
      <c r="F19" s="698"/>
      <c r="G19" s="698"/>
      <c r="H19" s="698"/>
      <c r="I19" s="698"/>
      <c r="J19" s="714"/>
      <c r="K19" s="95"/>
    </row>
    <row r="20" spans="1:11" ht="13.5" thickBot="1" x14ac:dyDescent="0.25">
      <c r="A20" s="87"/>
      <c r="B20" s="73"/>
      <c r="C20" s="72"/>
      <c r="D20" s="72"/>
      <c r="E20" s="72"/>
      <c r="F20" s="72"/>
      <c r="G20" s="72"/>
      <c r="H20" s="72"/>
      <c r="I20" s="72"/>
      <c r="J20" s="84"/>
      <c r="K20" s="95"/>
    </row>
    <row r="21" spans="1:11" ht="13.5" customHeight="1" thickBot="1" x14ac:dyDescent="0.25">
      <c r="A21" s="87"/>
      <c r="B21" s="74"/>
      <c r="C21" s="72"/>
      <c r="D21" s="698" t="s">
        <v>211</v>
      </c>
      <c r="E21" s="698"/>
      <c r="F21" s="698"/>
      <c r="G21" s="698"/>
      <c r="H21" s="715"/>
      <c r="I21" s="82">
        <v>41085</v>
      </c>
      <c r="J21" s="88"/>
      <c r="K21" s="95"/>
    </row>
    <row r="22" spans="1:11" ht="12.75" hidden="1" customHeight="1" x14ac:dyDescent="0.2">
      <c r="A22" s="87"/>
      <c r="B22" s="74"/>
      <c r="C22" s="72"/>
      <c r="D22" s="81"/>
      <c r="E22" s="81"/>
      <c r="F22" s="81"/>
      <c r="G22" s="81"/>
      <c r="H22" s="81"/>
      <c r="I22" s="81"/>
      <c r="J22" s="88"/>
      <c r="K22" s="95"/>
    </row>
    <row r="23" spans="1:11" ht="12.75" customHeight="1" thickBot="1" x14ac:dyDescent="0.25">
      <c r="A23" s="87"/>
      <c r="B23" s="74"/>
      <c r="C23" s="72"/>
      <c r="D23" s="81"/>
      <c r="E23" s="81"/>
      <c r="F23" s="81"/>
      <c r="G23" s="81"/>
      <c r="H23" s="81"/>
      <c r="I23" s="81"/>
      <c r="J23" s="88"/>
      <c r="K23" s="95"/>
    </row>
    <row r="24" spans="1:11" ht="12.75" customHeight="1" thickBot="1" x14ac:dyDescent="0.25">
      <c r="A24" s="87"/>
      <c r="B24" s="74"/>
      <c r="C24" s="72"/>
      <c r="D24" s="698" t="s">
        <v>212</v>
      </c>
      <c r="E24" s="698"/>
      <c r="F24" s="698"/>
      <c r="G24" s="698"/>
      <c r="H24" s="715"/>
      <c r="I24" s="82">
        <v>41138</v>
      </c>
      <c r="J24" s="88"/>
      <c r="K24" s="95"/>
    </row>
    <row r="25" spans="1:11" ht="12.75" customHeight="1" x14ac:dyDescent="0.2">
      <c r="A25" s="87"/>
      <c r="B25" s="74"/>
      <c r="C25" s="72"/>
      <c r="D25" s="81"/>
      <c r="E25" s="81"/>
      <c r="F25" s="81"/>
      <c r="G25" s="81"/>
      <c r="H25" s="81"/>
      <c r="I25" s="81"/>
      <c r="J25" s="88"/>
      <c r="K25" s="95"/>
    </row>
    <row r="26" spans="1:11" ht="12.75" customHeight="1" x14ac:dyDescent="0.2">
      <c r="A26" s="87"/>
      <c r="B26" s="719" t="s">
        <v>213</v>
      </c>
      <c r="C26" s="719"/>
      <c r="D26" s="719"/>
      <c r="E26" s="719"/>
      <c r="F26" s="719"/>
      <c r="G26" s="719"/>
      <c r="H26" s="719"/>
      <c r="I26" s="81"/>
      <c r="J26" s="95"/>
      <c r="K26" s="95"/>
    </row>
    <row r="27" spans="1:11" ht="12.75" customHeight="1" thickBot="1" x14ac:dyDescent="0.25">
      <c r="A27" s="87"/>
      <c r="B27" s="73"/>
      <c r="C27" s="72"/>
      <c r="D27" s="72"/>
      <c r="E27" s="72"/>
      <c r="F27" s="72"/>
      <c r="G27" s="72"/>
      <c r="H27" s="72"/>
      <c r="I27" s="72"/>
      <c r="J27" s="84"/>
      <c r="K27" s="95"/>
    </row>
    <row r="28" spans="1:11" ht="12.75" customHeight="1" thickBot="1" x14ac:dyDescent="0.25">
      <c r="A28" s="87"/>
      <c r="B28" s="71" t="s">
        <v>23</v>
      </c>
      <c r="C28" s="72"/>
      <c r="D28" s="698" t="s">
        <v>261</v>
      </c>
      <c r="E28" s="698"/>
      <c r="F28" s="698"/>
      <c r="G28" s="698"/>
      <c r="H28" s="698"/>
      <c r="I28" s="698"/>
      <c r="J28" s="88"/>
      <c r="K28" s="95"/>
    </row>
    <row r="29" spans="1:11" ht="13.5" thickBot="1" x14ac:dyDescent="0.25">
      <c r="A29" s="87"/>
      <c r="B29" s="74"/>
      <c r="C29" s="72"/>
      <c r="D29" s="81"/>
      <c r="E29" s="81"/>
      <c r="F29" s="81"/>
      <c r="G29" s="81"/>
      <c r="H29" s="81"/>
      <c r="I29" s="81"/>
      <c r="J29" s="88"/>
      <c r="K29" s="95"/>
    </row>
    <row r="30" spans="1:11" ht="12.75" customHeight="1" thickBot="1" x14ac:dyDescent="0.25">
      <c r="A30" s="87"/>
      <c r="B30" s="76" t="s">
        <v>23</v>
      </c>
      <c r="C30" s="72"/>
      <c r="D30" s="698" t="s">
        <v>260</v>
      </c>
      <c r="E30" s="698"/>
      <c r="F30" s="698"/>
      <c r="G30" s="698"/>
      <c r="H30" s="698"/>
      <c r="I30" s="75"/>
      <c r="J30" s="89"/>
      <c r="K30" s="95"/>
    </row>
    <row r="31" spans="1:11" ht="13.5" thickBot="1" x14ac:dyDescent="0.25">
      <c r="A31" s="87"/>
      <c r="B31" s="74"/>
      <c r="C31" s="72"/>
      <c r="D31" s="81"/>
      <c r="E31" s="81"/>
      <c r="F31" s="81"/>
      <c r="G31" s="81"/>
      <c r="H31" s="81"/>
      <c r="I31" s="81"/>
      <c r="J31" s="88"/>
      <c r="K31" s="95"/>
    </row>
    <row r="32" spans="1:11" ht="12.75" customHeight="1" thickBot="1" x14ac:dyDescent="0.25">
      <c r="A32" s="87"/>
      <c r="B32" s="76" t="s">
        <v>23</v>
      </c>
      <c r="C32" s="72"/>
      <c r="D32" s="697" t="s">
        <v>214</v>
      </c>
      <c r="E32" s="697"/>
      <c r="F32" s="697"/>
      <c r="G32" s="697"/>
      <c r="H32" s="697"/>
      <c r="I32" s="75"/>
      <c r="J32" s="89"/>
      <c r="K32" s="95"/>
    </row>
    <row r="33" spans="1:11" ht="13.5" thickBot="1" x14ac:dyDescent="0.25">
      <c r="A33" s="87"/>
      <c r="B33" s="74"/>
      <c r="C33" s="72"/>
      <c r="D33" s="947" t="s">
        <v>732</v>
      </c>
      <c r="E33" s="948"/>
      <c r="F33" s="948"/>
      <c r="G33" s="948"/>
      <c r="H33" s="948"/>
      <c r="I33" s="949"/>
      <c r="J33" s="88"/>
      <c r="K33" s="95"/>
    </row>
    <row r="34" spans="1:11" ht="13.5" thickBot="1" x14ac:dyDescent="0.25">
      <c r="A34" s="87"/>
      <c r="B34" s="74"/>
      <c r="C34" s="72"/>
      <c r="D34" s="81"/>
      <c r="E34" s="81"/>
      <c r="F34" s="81"/>
      <c r="G34" s="81"/>
      <c r="H34" s="81"/>
      <c r="I34" s="81"/>
      <c r="J34" s="88"/>
      <c r="K34" s="95"/>
    </row>
    <row r="35" spans="1:11" ht="12.75" customHeight="1" thickBot="1" x14ac:dyDescent="0.25">
      <c r="A35" s="87"/>
      <c r="B35" s="76" t="s">
        <v>23</v>
      </c>
      <c r="C35" s="72"/>
      <c r="D35" s="698" t="s">
        <v>262</v>
      </c>
      <c r="E35" s="698"/>
      <c r="F35" s="698"/>
      <c r="G35" s="698"/>
      <c r="H35" s="698"/>
      <c r="I35" s="698"/>
      <c r="J35" s="88"/>
      <c r="K35" s="95"/>
    </row>
    <row r="36" spans="1:11" ht="13.5" thickBot="1" x14ac:dyDescent="0.25">
      <c r="A36" s="87"/>
      <c r="B36" s="73"/>
      <c r="C36" s="72"/>
      <c r="D36" s="77"/>
      <c r="E36" s="72"/>
      <c r="F36" s="72"/>
      <c r="G36" s="72"/>
      <c r="H36" s="72"/>
      <c r="I36" s="72"/>
      <c r="J36" s="84"/>
      <c r="K36" s="95"/>
    </row>
    <row r="37" spans="1:11" ht="12.75" customHeight="1" thickBot="1" x14ac:dyDescent="0.25">
      <c r="A37" s="87"/>
      <c r="B37" s="71" t="s">
        <v>23</v>
      </c>
      <c r="C37" s="72"/>
      <c r="D37" s="698" t="s">
        <v>263</v>
      </c>
      <c r="E37" s="698"/>
      <c r="F37" s="698"/>
      <c r="G37" s="698"/>
      <c r="H37" s="698"/>
      <c r="I37" s="81"/>
      <c r="J37" s="88"/>
      <c r="K37" s="95"/>
    </row>
    <row r="38" spans="1:11" ht="13.5" thickBot="1" x14ac:dyDescent="0.25">
      <c r="A38" s="87"/>
      <c r="B38" s="74"/>
      <c r="C38" s="72"/>
      <c r="D38" s="81"/>
      <c r="E38" s="81"/>
      <c r="F38" s="81"/>
      <c r="G38" s="81"/>
      <c r="H38" s="81"/>
      <c r="I38" s="81"/>
      <c r="J38" s="88"/>
      <c r="K38" s="95"/>
    </row>
    <row r="39" spans="1:11" ht="12.75" customHeight="1" thickBot="1" x14ac:dyDescent="0.25">
      <c r="A39" s="87"/>
      <c r="B39" s="76" t="s">
        <v>23</v>
      </c>
      <c r="C39" s="72"/>
      <c r="D39" s="697" t="s">
        <v>264</v>
      </c>
      <c r="E39" s="697"/>
      <c r="F39" s="697"/>
      <c r="G39" s="697"/>
      <c r="H39" s="697"/>
      <c r="I39" s="75"/>
      <c r="J39" s="89"/>
      <c r="K39" s="95"/>
    </row>
    <row r="40" spans="1:11" ht="13.5" thickBot="1" x14ac:dyDescent="0.25">
      <c r="A40" s="87"/>
      <c r="B40" s="74"/>
      <c r="C40" s="72"/>
      <c r="D40" s="81"/>
      <c r="E40" s="81"/>
      <c r="F40" s="81"/>
      <c r="G40" s="81"/>
      <c r="H40" s="81"/>
      <c r="I40" s="81"/>
      <c r="J40" s="88"/>
      <c r="K40" s="95"/>
    </row>
    <row r="41" spans="1:11" ht="12.75" customHeight="1" thickBot="1" x14ac:dyDescent="0.25">
      <c r="A41" s="87"/>
      <c r="B41" s="76" t="s">
        <v>23</v>
      </c>
      <c r="C41" s="72"/>
      <c r="D41" s="698" t="s">
        <v>222</v>
      </c>
      <c r="E41" s="698"/>
      <c r="F41" s="698"/>
      <c r="G41" s="698"/>
      <c r="H41" s="698"/>
      <c r="I41" s="698"/>
      <c r="J41" s="88"/>
      <c r="K41" s="95"/>
    </row>
    <row r="42" spans="1:11" ht="12.75" customHeight="1" thickBot="1" x14ac:dyDescent="0.25">
      <c r="A42" s="87"/>
      <c r="B42" s="74"/>
      <c r="C42" s="72"/>
      <c r="D42" s="947" t="s">
        <v>834</v>
      </c>
      <c r="E42" s="948"/>
      <c r="F42" s="948"/>
      <c r="G42" s="948"/>
      <c r="H42" s="948"/>
      <c r="I42" s="949"/>
      <c r="J42" s="88"/>
      <c r="K42" s="95"/>
    </row>
    <row r="43" spans="1:11" s="99" customFormat="1" ht="13.5" thickBot="1" x14ac:dyDescent="0.25">
      <c r="A43" s="103"/>
      <c r="B43" s="100"/>
      <c r="C43" s="101"/>
      <c r="D43" s="102"/>
      <c r="E43" s="102"/>
      <c r="F43" s="102"/>
      <c r="G43" s="102"/>
      <c r="H43" s="102"/>
      <c r="I43" s="102"/>
      <c r="J43" s="92"/>
    </row>
    <row r="44" spans="1:11" ht="14.25" thickTop="1" thickBot="1" x14ac:dyDescent="0.25">
      <c r="A44" s="87"/>
      <c r="B44" s="73"/>
      <c r="C44" s="72"/>
      <c r="D44" s="77"/>
      <c r="E44" s="72"/>
      <c r="F44" s="72"/>
      <c r="G44" s="72"/>
      <c r="H44" s="72"/>
      <c r="I44" s="72"/>
      <c r="J44" s="84"/>
      <c r="K44" s="95"/>
    </row>
    <row r="45" spans="1:11" ht="13.5" customHeight="1" thickBot="1" x14ac:dyDescent="0.25">
      <c r="A45" s="87"/>
      <c r="B45" s="71" t="s">
        <v>23</v>
      </c>
      <c r="C45" s="72"/>
      <c r="D45" s="698" t="s">
        <v>259</v>
      </c>
      <c r="E45" s="698"/>
      <c r="F45" s="698"/>
      <c r="G45" s="698"/>
      <c r="H45" s="698"/>
      <c r="I45" s="698"/>
      <c r="J45" s="714"/>
      <c r="K45" s="95"/>
    </row>
    <row r="46" spans="1:11" x14ac:dyDescent="0.2">
      <c r="A46" s="87"/>
      <c r="B46" s="73"/>
      <c r="C46" s="72"/>
      <c r="D46" s="77"/>
      <c r="E46" s="72"/>
      <c r="F46" s="72"/>
      <c r="G46" s="72"/>
      <c r="H46" s="72"/>
      <c r="I46" s="72"/>
      <c r="J46" s="84"/>
      <c r="K46" s="95"/>
    </row>
    <row r="47" spans="1:11" ht="12.75" customHeight="1" x14ac:dyDescent="0.2">
      <c r="A47" s="87"/>
      <c r="B47" s="73"/>
      <c r="C47" s="72">
        <v>1</v>
      </c>
      <c r="D47" s="950" t="s">
        <v>265</v>
      </c>
      <c r="E47" s="950"/>
      <c r="F47" s="950"/>
      <c r="G47" s="950"/>
      <c r="H47" s="950"/>
      <c r="I47" s="950"/>
      <c r="J47" s="98"/>
      <c r="K47" s="98"/>
    </row>
    <row r="48" spans="1:11" x14ac:dyDescent="0.2">
      <c r="A48" s="87"/>
      <c r="B48" s="73"/>
      <c r="C48" s="72"/>
      <c r="D48" s="93"/>
      <c r="E48" s="93"/>
      <c r="F48" s="93"/>
      <c r="G48" s="93"/>
      <c r="H48" s="93"/>
      <c r="I48" s="93"/>
      <c r="J48" s="97"/>
      <c r="K48" s="97"/>
    </row>
    <row r="49" spans="1:11" ht="12.75" customHeight="1" x14ac:dyDescent="0.2">
      <c r="A49" s="87"/>
      <c r="B49" s="73"/>
      <c r="C49" s="72">
        <v>2</v>
      </c>
      <c r="D49" s="951" t="s">
        <v>266</v>
      </c>
      <c r="E49" s="951"/>
      <c r="F49" s="951"/>
      <c r="G49" s="951"/>
      <c r="H49" s="951"/>
      <c r="I49" s="951"/>
      <c r="J49" s="98"/>
      <c r="K49" s="98"/>
    </row>
    <row r="50" spans="1:11" x14ac:dyDescent="0.2">
      <c r="A50" s="87"/>
      <c r="B50" s="73"/>
      <c r="C50" s="72"/>
      <c r="D50" s="951"/>
      <c r="E50" s="951"/>
      <c r="F50" s="951"/>
      <c r="G50" s="951"/>
      <c r="H50" s="951"/>
      <c r="I50" s="951"/>
      <c r="J50" s="98"/>
      <c r="K50" s="98"/>
    </row>
    <row r="51" spans="1:11" x14ac:dyDescent="0.2">
      <c r="A51" s="87"/>
      <c r="B51" s="73"/>
      <c r="C51" s="72"/>
      <c r="D51" s="951"/>
      <c r="E51" s="951"/>
      <c r="F51" s="951"/>
      <c r="G51" s="951"/>
      <c r="H51" s="951"/>
      <c r="I51" s="951"/>
      <c r="J51" s="98"/>
      <c r="K51" s="98"/>
    </row>
    <row r="52" spans="1:11" x14ac:dyDescent="0.2">
      <c r="A52" s="87"/>
      <c r="B52" s="73"/>
      <c r="C52" s="72"/>
      <c r="D52" s="951"/>
      <c r="E52" s="951"/>
      <c r="F52" s="951"/>
      <c r="G52" s="951"/>
      <c r="H52" s="951"/>
      <c r="I52" s="951"/>
      <c r="J52" s="98"/>
      <c r="K52" s="98"/>
    </row>
    <row r="53" spans="1:11" x14ac:dyDescent="0.2">
      <c r="A53" s="87"/>
      <c r="B53" s="73"/>
      <c r="C53" s="72"/>
      <c r="D53" s="93"/>
      <c r="E53" s="93"/>
      <c r="F53" s="93"/>
      <c r="G53" s="93"/>
      <c r="H53" s="93"/>
      <c r="I53" s="93"/>
      <c r="J53" s="97"/>
      <c r="K53" s="97"/>
    </row>
    <row r="54" spans="1:11" ht="12.75" customHeight="1" x14ac:dyDescent="0.2">
      <c r="A54" s="87"/>
      <c r="B54" s="73"/>
      <c r="C54" s="72">
        <v>3</v>
      </c>
      <c r="D54" s="950" t="s">
        <v>267</v>
      </c>
      <c r="E54" s="950"/>
      <c r="F54" s="950"/>
      <c r="G54" s="950"/>
      <c r="H54" s="950"/>
      <c r="I54" s="950"/>
      <c r="J54" s="98"/>
      <c r="K54" s="98"/>
    </row>
    <row r="55" spans="1:11" x14ac:dyDescent="0.2">
      <c r="A55" s="87"/>
      <c r="B55" s="73"/>
      <c r="C55" s="72"/>
      <c r="D55" s="950"/>
      <c r="E55" s="950"/>
      <c r="F55" s="950"/>
      <c r="G55" s="950"/>
      <c r="H55" s="950"/>
      <c r="I55" s="950"/>
      <c r="J55" s="98"/>
      <c r="K55" s="98"/>
    </row>
    <row r="56" spans="1:11" x14ac:dyDescent="0.2">
      <c r="A56" s="87"/>
      <c r="B56" s="73"/>
      <c r="C56" s="72"/>
      <c r="D56" s="950"/>
      <c r="E56" s="950"/>
      <c r="F56" s="950"/>
      <c r="G56" s="950"/>
      <c r="H56" s="950"/>
      <c r="I56" s="950"/>
      <c r="J56" s="98"/>
      <c r="K56" s="98"/>
    </row>
    <row r="57" spans="1:11" x14ac:dyDescent="0.2">
      <c r="A57" s="87"/>
      <c r="B57" s="73"/>
      <c r="C57" s="72"/>
      <c r="D57" s="950"/>
      <c r="E57" s="950"/>
      <c r="F57" s="950"/>
      <c r="G57" s="950"/>
      <c r="H57" s="950"/>
      <c r="I57" s="950"/>
      <c r="J57" s="98"/>
      <c r="K57" s="98"/>
    </row>
    <row r="58" spans="1:11" x14ac:dyDescent="0.2">
      <c r="A58" s="87"/>
      <c r="B58" s="73"/>
      <c r="C58" s="72"/>
      <c r="D58" s="93"/>
      <c r="E58" s="93"/>
      <c r="F58" s="93"/>
      <c r="G58" s="93"/>
      <c r="H58" s="93"/>
      <c r="I58" s="93"/>
      <c r="J58" s="97"/>
      <c r="K58" s="97"/>
    </row>
    <row r="59" spans="1:11" ht="12.75" customHeight="1" x14ac:dyDescent="0.2">
      <c r="A59" s="87"/>
      <c r="B59" s="73"/>
      <c r="C59" s="72">
        <v>4</v>
      </c>
      <c r="D59" s="950" t="s">
        <v>268</v>
      </c>
      <c r="E59" s="950"/>
      <c r="F59" s="950"/>
      <c r="G59" s="950"/>
      <c r="H59" s="950"/>
      <c r="I59" s="950"/>
      <c r="J59" s="98"/>
      <c r="K59" s="98"/>
    </row>
    <row r="60" spans="1:11" x14ac:dyDescent="0.2">
      <c r="A60" s="87"/>
      <c r="B60" s="73"/>
      <c r="C60" s="72"/>
      <c r="D60" s="950"/>
      <c r="E60" s="950"/>
      <c r="F60" s="950"/>
      <c r="G60" s="950"/>
      <c r="H60" s="950"/>
      <c r="I60" s="950"/>
      <c r="J60" s="98"/>
      <c r="K60" s="98"/>
    </row>
    <row r="61" spans="1:11" x14ac:dyDescent="0.2">
      <c r="A61" s="87"/>
      <c r="B61" s="73"/>
      <c r="C61" s="72"/>
      <c r="D61" s="93"/>
      <c r="E61" s="93"/>
      <c r="F61" s="93"/>
      <c r="G61" s="93"/>
      <c r="H61" s="93"/>
      <c r="I61" s="93"/>
      <c r="J61" s="97"/>
      <c r="K61" s="97"/>
    </row>
    <row r="62" spans="1:11" ht="12.75" customHeight="1" x14ac:dyDescent="0.2">
      <c r="A62" s="87"/>
      <c r="B62" s="73"/>
      <c r="C62" s="72">
        <v>5</v>
      </c>
      <c r="D62" s="950" t="s">
        <v>269</v>
      </c>
      <c r="E62" s="950"/>
      <c r="F62" s="950"/>
      <c r="G62" s="950"/>
      <c r="H62" s="950"/>
      <c r="I62" s="950"/>
      <c r="J62" s="98"/>
      <c r="K62" s="98"/>
    </row>
    <row r="63" spans="1:11" x14ac:dyDescent="0.2">
      <c r="A63" s="87"/>
      <c r="B63" s="73"/>
      <c r="C63" s="72"/>
      <c r="D63" s="950"/>
      <c r="E63" s="950"/>
      <c r="F63" s="950"/>
      <c r="G63" s="950"/>
      <c r="H63" s="950"/>
      <c r="I63" s="950"/>
      <c r="J63" s="98"/>
      <c r="K63" s="98"/>
    </row>
    <row r="64" spans="1:11" x14ac:dyDescent="0.2">
      <c r="A64" s="87"/>
      <c r="B64" s="73"/>
      <c r="C64" s="72"/>
      <c r="D64" s="93"/>
      <c r="E64" s="93"/>
      <c r="F64" s="93"/>
      <c r="G64" s="93"/>
      <c r="H64" s="93"/>
      <c r="I64" s="93"/>
      <c r="J64" s="97"/>
      <c r="K64" s="97"/>
    </row>
    <row r="65" spans="1:11" ht="12.75" customHeight="1" x14ac:dyDescent="0.2">
      <c r="A65" s="87"/>
      <c r="B65" s="73"/>
      <c r="C65" s="72">
        <v>6</v>
      </c>
      <c r="D65" s="950" t="s">
        <v>270</v>
      </c>
      <c r="E65" s="950"/>
      <c r="F65" s="950"/>
      <c r="G65" s="950"/>
      <c r="H65" s="950"/>
      <c r="I65" s="950"/>
      <c r="J65" s="98"/>
      <c r="K65" s="98"/>
    </row>
    <row r="66" spans="1:11" ht="12.75" customHeight="1" x14ac:dyDescent="0.2">
      <c r="A66" s="87"/>
      <c r="B66" s="73"/>
      <c r="C66" s="72"/>
      <c r="D66" s="950"/>
      <c r="E66" s="950"/>
      <c r="F66" s="950"/>
      <c r="G66" s="950"/>
      <c r="H66" s="950"/>
      <c r="I66" s="950"/>
      <c r="J66" s="98"/>
      <c r="K66" s="98"/>
    </row>
    <row r="67" spans="1:11" x14ac:dyDescent="0.2">
      <c r="A67" s="87"/>
      <c r="B67" s="73"/>
      <c r="C67" s="72"/>
      <c r="D67" s="950"/>
      <c r="E67" s="950"/>
      <c r="F67" s="950"/>
      <c r="G67" s="950"/>
      <c r="H67" s="950"/>
      <c r="I67" s="950"/>
      <c r="J67" s="98"/>
      <c r="K67" s="98"/>
    </row>
    <row r="68" spans="1:11" x14ac:dyDescent="0.2">
      <c r="A68" s="87"/>
      <c r="B68" s="73"/>
      <c r="C68" s="72"/>
      <c r="D68" s="93"/>
      <c r="E68" s="93"/>
      <c r="F68" s="93"/>
      <c r="G68" s="93"/>
      <c r="H68" s="93"/>
      <c r="I68" s="93"/>
      <c r="J68" s="97"/>
      <c r="K68" s="97"/>
    </row>
    <row r="69" spans="1:11" ht="12.75" customHeight="1" x14ac:dyDescent="0.2">
      <c r="A69" s="87"/>
      <c r="B69" s="73"/>
      <c r="C69" s="72">
        <v>7</v>
      </c>
      <c r="D69" s="950" t="s">
        <v>271</v>
      </c>
      <c r="E69" s="950"/>
      <c r="F69" s="950"/>
      <c r="G69" s="950"/>
      <c r="H69" s="950"/>
      <c r="I69" s="950"/>
      <c r="J69" s="98"/>
      <c r="K69" s="98"/>
    </row>
    <row r="70" spans="1:11" x14ac:dyDescent="0.2">
      <c r="A70" s="87"/>
      <c r="B70" s="73"/>
      <c r="C70" s="72"/>
      <c r="D70" s="950"/>
      <c r="E70" s="950"/>
      <c r="F70" s="950"/>
      <c r="G70" s="950"/>
      <c r="H70" s="950"/>
      <c r="I70" s="950"/>
      <c r="J70" s="98"/>
      <c r="K70" s="98"/>
    </row>
    <row r="71" spans="1:11" x14ac:dyDescent="0.2">
      <c r="A71" s="87"/>
      <c r="B71" s="73"/>
      <c r="C71" s="72"/>
      <c r="D71" s="93"/>
      <c r="E71" s="93"/>
      <c r="F71" s="93"/>
      <c r="G71" s="93"/>
      <c r="H71" s="93"/>
      <c r="I71" s="93"/>
      <c r="J71" s="97"/>
      <c r="K71" s="97"/>
    </row>
    <row r="72" spans="1:11" ht="12.75" customHeight="1" x14ac:dyDescent="0.2">
      <c r="A72" s="87"/>
      <c r="B72" s="73"/>
      <c r="C72" s="72">
        <v>8</v>
      </c>
      <c r="D72" s="950" t="s">
        <v>272</v>
      </c>
      <c r="E72" s="950"/>
      <c r="F72" s="950"/>
      <c r="G72" s="950"/>
      <c r="H72" s="950"/>
      <c r="I72" s="950"/>
      <c r="J72" s="98"/>
      <c r="K72" s="98"/>
    </row>
    <row r="73" spans="1:11" x14ac:dyDescent="0.2">
      <c r="A73" s="87"/>
      <c r="B73" s="73"/>
      <c r="C73" s="72"/>
      <c r="D73" s="950"/>
      <c r="E73" s="950"/>
      <c r="F73" s="950"/>
      <c r="G73" s="950"/>
      <c r="H73" s="950"/>
      <c r="I73" s="950"/>
      <c r="J73" s="98"/>
      <c r="K73" s="98"/>
    </row>
    <row r="74" spans="1:11" x14ac:dyDescent="0.2">
      <c r="A74" s="87"/>
      <c r="B74" s="73"/>
      <c r="C74" s="72"/>
      <c r="D74" s="950"/>
      <c r="E74" s="950"/>
      <c r="F74" s="950"/>
      <c r="G74" s="950"/>
      <c r="H74" s="950"/>
      <c r="I74" s="950"/>
      <c r="J74" s="98"/>
      <c r="K74" s="98"/>
    </row>
    <row r="75" spans="1:11" x14ac:dyDescent="0.2">
      <c r="A75" s="87"/>
      <c r="B75" s="73"/>
      <c r="C75" s="72"/>
      <c r="D75" s="950"/>
      <c r="E75" s="950"/>
      <c r="F75" s="950"/>
      <c r="G75" s="950"/>
      <c r="H75" s="950"/>
      <c r="I75" s="950"/>
      <c r="J75" s="98"/>
      <c r="K75" s="98"/>
    </row>
    <row r="76" spans="1:11" x14ac:dyDescent="0.2">
      <c r="A76" s="87"/>
      <c r="B76" s="73"/>
      <c r="C76" s="72"/>
      <c r="D76" s="950"/>
      <c r="E76" s="950"/>
      <c r="F76" s="950"/>
      <c r="G76" s="950"/>
      <c r="H76" s="950"/>
      <c r="I76" s="950"/>
      <c r="J76" s="98"/>
      <c r="K76" s="98"/>
    </row>
    <row r="77" spans="1:11" x14ac:dyDescent="0.2">
      <c r="A77" s="87"/>
      <c r="B77" s="73"/>
      <c r="C77" s="72"/>
      <c r="D77" s="93"/>
      <c r="E77" s="93"/>
      <c r="F77" s="93"/>
      <c r="G77" s="93"/>
      <c r="H77" s="93"/>
      <c r="I77" s="93"/>
      <c r="J77" s="97"/>
      <c r="K77" s="97"/>
    </row>
    <row r="78" spans="1:11" ht="12.75" customHeight="1" x14ac:dyDescent="0.2">
      <c r="A78" s="87"/>
      <c r="B78" s="73"/>
      <c r="C78" s="72">
        <v>9</v>
      </c>
      <c r="D78" s="950" t="s">
        <v>273</v>
      </c>
      <c r="E78" s="950"/>
      <c r="F78" s="950"/>
      <c r="G78" s="950"/>
      <c r="H78" s="950"/>
      <c r="I78" s="950"/>
      <c r="J78" s="98"/>
      <c r="K78" s="98"/>
    </row>
    <row r="79" spans="1:11" x14ac:dyDescent="0.2">
      <c r="A79" s="87"/>
      <c r="B79" s="73"/>
      <c r="C79" s="72"/>
      <c r="D79" s="950"/>
      <c r="E79" s="950"/>
      <c r="F79" s="950"/>
      <c r="G79" s="950"/>
      <c r="H79" s="950"/>
      <c r="I79" s="950"/>
      <c r="J79" s="98"/>
      <c r="K79" s="98"/>
    </row>
    <row r="80" spans="1:11" x14ac:dyDescent="0.2">
      <c r="A80" s="87"/>
      <c r="B80" s="73"/>
      <c r="C80" s="72"/>
      <c r="D80" s="950"/>
      <c r="E80" s="950"/>
      <c r="F80" s="950"/>
      <c r="G80" s="950"/>
      <c r="H80" s="950"/>
      <c r="I80" s="950"/>
      <c r="J80" s="98"/>
      <c r="K80" s="98"/>
    </row>
    <row r="81" spans="1:11" x14ac:dyDescent="0.2">
      <c r="A81" s="87"/>
      <c r="B81" s="73"/>
      <c r="C81" s="72"/>
      <c r="D81" s="950"/>
      <c r="E81" s="950"/>
      <c r="F81" s="950"/>
      <c r="G81" s="950"/>
      <c r="H81" s="950"/>
      <c r="I81" s="950"/>
      <c r="J81" s="98"/>
      <c r="K81" s="98"/>
    </row>
    <row r="82" spans="1:11" x14ac:dyDescent="0.2">
      <c r="A82" s="87"/>
      <c r="B82" s="73"/>
      <c r="C82" s="72"/>
      <c r="D82" s="950"/>
      <c r="E82" s="950"/>
      <c r="F82" s="950"/>
      <c r="G82" s="950"/>
      <c r="H82" s="950"/>
      <c r="I82" s="950"/>
      <c r="J82" s="98"/>
      <c r="K82" s="98"/>
    </row>
    <row r="83" spans="1:11" x14ac:dyDescent="0.2">
      <c r="A83" s="87"/>
      <c r="B83" s="73"/>
      <c r="C83" s="72"/>
      <c r="D83" s="93"/>
      <c r="E83" s="93"/>
      <c r="F83" s="93"/>
      <c r="G83" s="93"/>
      <c r="H83" s="93"/>
      <c r="I83" s="93"/>
      <c r="J83" s="97"/>
      <c r="K83" s="97"/>
    </row>
    <row r="84" spans="1:11" ht="12.75" customHeight="1" x14ac:dyDescent="0.2">
      <c r="A84" s="87"/>
      <c r="B84" s="73"/>
      <c r="C84" s="72">
        <v>10</v>
      </c>
      <c r="D84" s="952" t="s">
        <v>274</v>
      </c>
      <c r="E84" s="952"/>
      <c r="F84" s="952"/>
      <c r="G84" s="952"/>
      <c r="H84" s="952"/>
      <c r="I84" s="952"/>
      <c r="J84" s="97"/>
      <c r="K84" s="97"/>
    </row>
    <row r="85" spans="1:11" x14ac:dyDescent="0.2">
      <c r="A85" s="87"/>
      <c r="B85" s="73"/>
      <c r="C85" s="72"/>
      <c r="D85" s="952"/>
      <c r="E85" s="952"/>
      <c r="F85" s="952"/>
      <c r="G85" s="952"/>
      <c r="H85" s="952"/>
      <c r="I85" s="952"/>
      <c r="J85" s="97"/>
      <c r="K85" s="97"/>
    </row>
    <row r="86" spans="1:11" ht="13.5" thickBot="1" x14ac:dyDescent="0.25">
      <c r="A86" s="179"/>
      <c r="B86" s="180"/>
      <c r="C86" s="181"/>
      <c r="D86" s="953"/>
      <c r="E86" s="953"/>
      <c r="F86" s="953"/>
      <c r="G86" s="953"/>
      <c r="H86" s="953"/>
      <c r="I86" s="953"/>
      <c r="J86" s="182"/>
      <c r="K86" s="95"/>
    </row>
    <row r="87" spans="1:11" ht="12.75" customHeight="1" thickTop="1" x14ac:dyDescent="0.2"/>
  </sheetData>
  <sheetProtection password="E686" sheet="1" objects="1" scenarios="1" formatRows="0"/>
  <mergeCells count="27">
    <mergeCell ref="D65:I67"/>
    <mergeCell ref="D24:H24"/>
    <mergeCell ref="D28:I28"/>
    <mergeCell ref="D84:I86"/>
    <mergeCell ref="D39:H39"/>
    <mergeCell ref="D41:I41"/>
    <mergeCell ref="D69:I70"/>
    <mergeCell ref="D72:I76"/>
    <mergeCell ref="D78:I82"/>
    <mergeCell ref="D47:I47"/>
    <mergeCell ref="D42:I42"/>
    <mergeCell ref="B26:H26"/>
    <mergeCell ref="D30:H30"/>
    <mergeCell ref="D37:H37"/>
    <mergeCell ref="D62:I63"/>
    <mergeCell ref="D59:I60"/>
    <mergeCell ref="D32:H32"/>
    <mergeCell ref="D33:I33"/>
    <mergeCell ref="D35:I35"/>
    <mergeCell ref="D45:J45"/>
    <mergeCell ref="D54:I57"/>
    <mergeCell ref="D49:I52"/>
    <mergeCell ref="A1:J2"/>
    <mergeCell ref="A3:J6"/>
    <mergeCell ref="A7:J13"/>
    <mergeCell ref="D16:J19"/>
    <mergeCell ref="D21:H21"/>
  </mergeCells>
  <dataValidations count="1">
    <dataValidation type="list" allowBlank="1" showInputMessage="1" showErrorMessage="1" sqref="B45 B41 B32 B30 B28 B16 B39 B37 B35">
      <formula1>check</formula1>
    </dataValidation>
  </dataValidations>
  <pageMargins left="0.75" right="0.75" top="1" bottom="1" header="0.5" footer="0.5"/>
  <pageSetup scale="57" fitToWidth="0" fitToHeight="0" orientation="portrait" r:id="rId1"/>
  <headerFooter alignWithMargins="0">
    <oddHeader>&amp;LFFY 2012 Consolidated Application&amp;C&amp;A&amp;R&amp;P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20"/>
  <sheetViews>
    <sheetView topLeftCell="A331" zoomScale="87" zoomScaleNormal="87" workbookViewId="0">
      <selection activeCell="O338" sqref="O338"/>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573" t="s">
        <v>189</v>
      </c>
      <c r="B1" s="574"/>
      <c r="C1" s="574"/>
      <c r="D1" s="574"/>
      <c r="E1" s="574"/>
      <c r="F1" s="574"/>
      <c r="G1" s="574"/>
      <c r="H1" s="574"/>
      <c r="I1" s="574"/>
      <c r="J1" s="575"/>
    </row>
    <row r="2" spans="1:10" ht="12.75" customHeight="1" x14ac:dyDescent="0.2">
      <c r="A2" s="576"/>
      <c r="B2" s="577"/>
      <c r="C2" s="577"/>
      <c r="D2" s="577"/>
      <c r="E2" s="577"/>
      <c r="F2" s="577"/>
      <c r="G2" s="577"/>
      <c r="H2" s="577"/>
      <c r="I2" s="577"/>
      <c r="J2" s="578"/>
    </row>
    <row r="3" spans="1:10" ht="12.75" customHeight="1" x14ac:dyDescent="0.2">
      <c r="A3" s="673" t="s">
        <v>171</v>
      </c>
      <c r="B3" s="674"/>
      <c r="C3" s="674"/>
      <c r="D3" s="674"/>
      <c r="E3" s="674"/>
      <c r="F3" s="674"/>
      <c r="G3" s="674"/>
      <c r="H3" s="674"/>
      <c r="I3" s="674"/>
      <c r="J3" s="675"/>
    </row>
    <row r="4" spans="1:10" ht="12.75" customHeight="1" x14ac:dyDescent="0.2">
      <c r="A4" s="705"/>
      <c r="B4" s="706"/>
      <c r="C4" s="706"/>
      <c r="D4" s="706"/>
      <c r="E4" s="706"/>
      <c r="F4" s="706"/>
      <c r="G4" s="706"/>
      <c r="H4" s="706"/>
      <c r="I4" s="706"/>
      <c r="J4" s="707"/>
    </row>
    <row r="5" spans="1:10" ht="12.75" customHeight="1" x14ac:dyDescent="0.2">
      <c r="A5" s="676"/>
      <c r="B5" s="677"/>
      <c r="C5" s="677"/>
      <c r="D5" s="677"/>
      <c r="E5" s="677"/>
      <c r="F5" s="677"/>
      <c r="G5" s="677"/>
      <c r="H5" s="677"/>
      <c r="I5" s="677"/>
      <c r="J5" s="678"/>
    </row>
    <row r="6" spans="1:10" ht="12.75" customHeight="1" x14ac:dyDescent="0.2">
      <c r="A6" s="708" t="s">
        <v>371</v>
      </c>
      <c r="B6" s="709"/>
      <c r="C6" s="709"/>
      <c r="D6" s="709"/>
      <c r="E6" s="709"/>
      <c r="F6" s="709"/>
      <c r="G6" s="709"/>
      <c r="H6" s="709"/>
      <c r="I6" s="709"/>
      <c r="J6" s="710"/>
    </row>
    <row r="7" spans="1:10" ht="12.75" customHeight="1" x14ac:dyDescent="0.2">
      <c r="A7" s="711"/>
      <c r="B7" s="712"/>
      <c r="C7" s="712"/>
      <c r="D7" s="712"/>
      <c r="E7" s="712"/>
      <c r="F7" s="712"/>
      <c r="G7" s="712"/>
      <c r="H7" s="712"/>
      <c r="I7" s="712"/>
      <c r="J7" s="713"/>
    </row>
    <row r="8" spans="1:10" ht="12.75" customHeight="1" x14ac:dyDescent="0.2">
      <c r="A8" s="711"/>
      <c r="B8" s="712"/>
      <c r="C8" s="712"/>
      <c r="D8" s="712"/>
      <c r="E8" s="712"/>
      <c r="F8" s="712"/>
      <c r="G8" s="712"/>
      <c r="H8" s="712"/>
      <c r="I8" s="712"/>
      <c r="J8" s="713"/>
    </row>
    <row r="9" spans="1:10" ht="12.75" customHeight="1" x14ac:dyDescent="0.2">
      <c r="A9" s="711"/>
      <c r="B9" s="712"/>
      <c r="C9" s="712"/>
      <c r="D9" s="712"/>
      <c r="E9" s="712"/>
      <c r="F9" s="712"/>
      <c r="G9" s="712"/>
      <c r="H9" s="712"/>
      <c r="I9" s="712"/>
      <c r="J9" s="713"/>
    </row>
    <row r="10" spans="1:10" ht="12.75" customHeight="1" x14ac:dyDescent="0.2">
      <c r="A10" s="954"/>
      <c r="B10" s="955"/>
      <c r="C10" s="955"/>
      <c r="D10" s="955"/>
      <c r="E10" s="955"/>
      <c r="F10" s="955"/>
      <c r="G10" s="955"/>
      <c r="H10" s="955"/>
      <c r="I10" s="955"/>
      <c r="J10" s="956"/>
    </row>
    <row r="11" spans="1:10" s="61" customFormat="1" x14ac:dyDescent="0.2">
      <c r="A11" s="55"/>
      <c r="B11" s="56"/>
      <c r="C11" s="57"/>
      <c r="D11" s="58"/>
      <c r="E11" s="58"/>
      <c r="F11" s="58"/>
      <c r="G11" s="58"/>
      <c r="H11" s="59"/>
      <c r="I11" s="57"/>
      <c r="J11" s="60"/>
    </row>
    <row r="12" spans="1:10" s="61" customFormat="1" ht="25.5" customHeight="1" x14ac:dyDescent="0.2">
      <c r="A12" s="730" t="s">
        <v>170</v>
      </c>
      <c r="B12" s="731"/>
      <c r="C12" s="731"/>
      <c r="D12" s="731"/>
      <c r="E12" s="731"/>
      <c r="F12" s="731"/>
      <c r="G12" s="731"/>
      <c r="H12" s="731"/>
      <c r="I12" s="731"/>
      <c r="J12" s="732"/>
    </row>
    <row r="13" spans="1:10" s="61" customFormat="1" ht="12.75" customHeight="1" x14ac:dyDescent="0.2">
      <c r="A13" s="475" t="s">
        <v>169</v>
      </c>
      <c r="B13" s="476"/>
      <c r="C13" s="476"/>
      <c r="D13" s="476"/>
      <c r="E13" s="476"/>
      <c r="F13" s="746"/>
      <c r="G13" s="746"/>
      <c r="H13" s="746"/>
      <c r="I13" s="746"/>
      <c r="J13" s="747"/>
    </row>
    <row r="14" spans="1:10" ht="12.75" customHeight="1" x14ac:dyDescent="0.2">
      <c r="A14" s="721" t="s">
        <v>369</v>
      </c>
      <c r="B14" s="722"/>
      <c r="C14" s="722"/>
      <c r="D14" s="722"/>
      <c r="E14" s="722"/>
      <c r="F14" s="722"/>
      <c r="G14" s="722"/>
      <c r="H14" s="722"/>
      <c r="I14" s="722"/>
      <c r="J14" s="723"/>
    </row>
    <row r="15" spans="1:10" ht="12.75" customHeight="1" x14ac:dyDescent="0.2">
      <c r="A15" s="724"/>
      <c r="B15" s="725"/>
      <c r="C15" s="725"/>
      <c r="D15" s="725"/>
      <c r="E15" s="725"/>
      <c r="F15" s="725"/>
      <c r="G15" s="725"/>
      <c r="H15" s="725"/>
      <c r="I15" s="725"/>
      <c r="J15" s="726"/>
    </row>
    <row r="16" spans="1:10" ht="12.75" customHeight="1" x14ac:dyDescent="0.2">
      <c r="A16" s="724"/>
      <c r="B16" s="725"/>
      <c r="C16" s="725"/>
      <c r="D16" s="725"/>
      <c r="E16" s="725"/>
      <c r="F16" s="725"/>
      <c r="G16" s="725"/>
      <c r="H16" s="725"/>
      <c r="I16" s="725"/>
      <c r="J16" s="726"/>
    </row>
    <row r="17" spans="1:10" ht="15" customHeight="1" x14ac:dyDescent="0.2">
      <c r="A17" s="727"/>
      <c r="B17" s="728"/>
      <c r="C17" s="728"/>
      <c r="D17" s="728"/>
      <c r="E17" s="728"/>
      <c r="F17" s="728"/>
      <c r="G17" s="728"/>
      <c r="H17" s="728"/>
      <c r="I17" s="728"/>
      <c r="J17" s="729"/>
    </row>
    <row r="18" spans="1:10" ht="12.75" customHeight="1" x14ac:dyDescent="0.2">
      <c r="A18" s="742"/>
      <c r="B18" s="743"/>
      <c r="C18" s="743"/>
      <c r="D18" s="743"/>
      <c r="E18" s="743"/>
      <c r="F18" s="743"/>
      <c r="G18" s="743"/>
      <c r="H18" s="743"/>
      <c r="I18" s="743"/>
      <c r="J18" s="744"/>
    </row>
    <row r="19" spans="1:10" ht="12.75" customHeight="1" x14ac:dyDescent="0.2">
      <c r="A19" s="742"/>
      <c r="B19" s="743"/>
      <c r="C19" s="743"/>
      <c r="D19" s="743"/>
      <c r="E19" s="743"/>
      <c r="F19" s="743"/>
      <c r="G19" s="743"/>
      <c r="H19" s="743"/>
      <c r="I19" s="743"/>
      <c r="J19" s="744"/>
    </row>
    <row r="20" spans="1:10" ht="12.75" customHeight="1" x14ac:dyDescent="0.2">
      <c r="A20" s="742"/>
      <c r="B20" s="743"/>
      <c r="C20" s="743"/>
      <c r="D20" s="743"/>
      <c r="E20" s="743"/>
      <c r="F20" s="743"/>
      <c r="G20" s="743"/>
      <c r="H20" s="743"/>
      <c r="I20" s="743"/>
      <c r="J20" s="744"/>
    </row>
    <row r="21" spans="1:10" ht="12.75" customHeight="1" x14ac:dyDescent="0.2">
      <c r="A21" s="742"/>
      <c r="B21" s="743"/>
      <c r="C21" s="743"/>
      <c r="D21" s="743"/>
      <c r="E21" s="743"/>
      <c r="F21" s="743"/>
      <c r="G21" s="743"/>
      <c r="H21" s="743"/>
      <c r="I21" s="743"/>
      <c r="J21" s="744"/>
    </row>
    <row r="22" spans="1:10" ht="12.75" customHeight="1" x14ac:dyDescent="0.2">
      <c r="A22" s="742"/>
      <c r="B22" s="743"/>
      <c r="C22" s="743"/>
      <c r="D22" s="743"/>
      <c r="E22" s="743"/>
      <c r="F22" s="743"/>
      <c r="G22" s="743"/>
      <c r="H22" s="743"/>
      <c r="I22" s="743"/>
      <c r="J22" s="744"/>
    </row>
    <row r="23" spans="1:10" ht="12.75" customHeight="1" x14ac:dyDescent="0.2">
      <c r="A23" s="742"/>
      <c r="B23" s="743"/>
      <c r="C23" s="743"/>
      <c r="D23" s="743"/>
      <c r="E23" s="743"/>
      <c r="F23" s="743"/>
      <c r="G23" s="743"/>
      <c r="H23" s="743"/>
      <c r="I23" s="743"/>
      <c r="J23" s="744"/>
    </row>
    <row r="24" spans="1:10" ht="12.75" customHeight="1" x14ac:dyDescent="0.2">
      <c r="A24" s="742"/>
      <c r="B24" s="743"/>
      <c r="C24" s="743"/>
      <c r="D24" s="743"/>
      <c r="E24" s="743"/>
      <c r="F24" s="743"/>
      <c r="G24" s="743"/>
      <c r="H24" s="743"/>
      <c r="I24" s="743"/>
      <c r="J24" s="744"/>
    </row>
    <row r="25" spans="1:10" ht="12.75" customHeight="1" x14ac:dyDescent="0.2">
      <c r="A25" s="742"/>
      <c r="B25" s="743"/>
      <c r="C25" s="743"/>
      <c r="D25" s="743"/>
      <c r="E25" s="743"/>
      <c r="F25" s="743"/>
      <c r="G25" s="743"/>
      <c r="H25" s="743"/>
      <c r="I25" s="743"/>
      <c r="J25" s="744"/>
    </row>
    <row r="26" spans="1:10" ht="12.75" customHeight="1" x14ac:dyDescent="0.2">
      <c r="A26" s="742"/>
      <c r="B26" s="743"/>
      <c r="C26" s="743"/>
      <c r="D26" s="743"/>
      <c r="E26" s="743"/>
      <c r="F26" s="743"/>
      <c r="G26" s="743"/>
      <c r="H26" s="743"/>
      <c r="I26" s="743"/>
      <c r="J26" s="744"/>
    </row>
    <row r="27" spans="1:10" ht="12.75" customHeight="1" x14ac:dyDescent="0.2">
      <c r="A27" s="742"/>
      <c r="B27" s="743"/>
      <c r="C27" s="743"/>
      <c r="D27" s="743"/>
      <c r="E27" s="743"/>
      <c r="F27" s="743"/>
      <c r="G27" s="743"/>
      <c r="H27" s="743"/>
      <c r="I27" s="743"/>
      <c r="J27" s="744"/>
    </row>
    <row r="28" spans="1:10" ht="12.75" customHeight="1" x14ac:dyDescent="0.2">
      <c r="A28" s="742"/>
      <c r="B28" s="743"/>
      <c r="C28" s="743"/>
      <c r="D28" s="743"/>
      <c r="E28" s="743"/>
      <c r="F28" s="743"/>
      <c r="G28" s="743"/>
      <c r="H28" s="743"/>
      <c r="I28" s="743"/>
      <c r="J28" s="744"/>
    </row>
    <row r="29" spans="1:10" ht="12.75" customHeight="1" x14ac:dyDescent="0.2">
      <c r="A29" s="742"/>
      <c r="B29" s="743"/>
      <c r="C29" s="743"/>
      <c r="D29" s="743"/>
      <c r="E29" s="743"/>
      <c r="F29" s="743"/>
      <c r="G29" s="743"/>
      <c r="H29" s="743"/>
      <c r="I29" s="743"/>
      <c r="J29" s="744"/>
    </row>
    <row r="30" spans="1:10" ht="12.75" customHeight="1" x14ac:dyDescent="0.2">
      <c r="A30" s="742"/>
      <c r="B30" s="743"/>
      <c r="C30" s="743"/>
      <c r="D30" s="743"/>
      <c r="E30" s="743"/>
      <c r="F30" s="743"/>
      <c r="G30" s="743"/>
      <c r="H30" s="743"/>
      <c r="I30" s="743"/>
      <c r="J30" s="744"/>
    </row>
    <row r="31" spans="1:10" ht="12.75" customHeight="1" x14ac:dyDescent="0.2">
      <c r="A31" s="742"/>
      <c r="B31" s="743"/>
      <c r="C31" s="743"/>
      <c r="D31" s="743"/>
      <c r="E31" s="743"/>
      <c r="F31" s="743"/>
      <c r="G31" s="743"/>
      <c r="H31" s="743"/>
      <c r="I31" s="743"/>
      <c r="J31" s="744"/>
    </row>
    <row r="32" spans="1:10" ht="12.75" customHeight="1" x14ac:dyDescent="0.2">
      <c r="A32" s="742"/>
      <c r="B32" s="743"/>
      <c r="C32" s="743"/>
      <c r="D32" s="743"/>
      <c r="E32" s="743"/>
      <c r="F32" s="743"/>
      <c r="G32" s="743"/>
      <c r="H32" s="743"/>
      <c r="I32" s="743"/>
      <c r="J32" s="744"/>
    </row>
    <row r="33" spans="1:10" ht="12.75" customHeight="1" x14ac:dyDescent="0.2">
      <c r="A33" s="742"/>
      <c r="B33" s="743"/>
      <c r="C33" s="743"/>
      <c r="D33" s="743"/>
      <c r="E33" s="743"/>
      <c r="F33" s="743"/>
      <c r="G33" s="743"/>
      <c r="H33" s="743"/>
      <c r="I33" s="743"/>
      <c r="J33" s="744"/>
    </row>
    <row r="34" spans="1:10" ht="12.75" customHeight="1" x14ac:dyDescent="0.2">
      <c r="A34" s="742"/>
      <c r="B34" s="743"/>
      <c r="C34" s="743"/>
      <c r="D34" s="743"/>
      <c r="E34" s="743"/>
      <c r="F34" s="743"/>
      <c r="G34" s="743"/>
      <c r="H34" s="743"/>
      <c r="I34" s="743"/>
      <c r="J34" s="744"/>
    </row>
    <row r="35" spans="1:10" ht="12.75" customHeight="1" x14ac:dyDescent="0.2">
      <c r="A35" s="742"/>
      <c r="B35" s="743"/>
      <c r="C35" s="743"/>
      <c r="D35" s="743"/>
      <c r="E35" s="743"/>
      <c r="F35" s="743"/>
      <c r="G35" s="743"/>
      <c r="H35" s="743"/>
      <c r="I35" s="743"/>
      <c r="J35" s="744"/>
    </row>
    <row r="36" spans="1:10" ht="12.75" customHeight="1" x14ac:dyDescent="0.2">
      <c r="A36" s="742"/>
      <c r="B36" s="743"/>
      <c r="C36" s="743"/>
      <c r="D36" s="743"/>
      <c r="E36" s="743"/>
      <c r="F36" s="743"/>
      <c r="G36" s="743"/>
      <c r="H36" s="743"/>
      <c r="I36" s="743"/>
      <c r="J36" s="744"/>
    </row>
    <row r="37" spans="1:10" ht="12.75" customHeight="1" x14ac:dyDescent="0.2">
      <c r="A37" s="742"/>
      <c r="B37" s="743"/>
      <c r="C37" s="743"/>
      <c r="D37" s="743"/>
      <c r="E37" s="743"/>
      <c r="F37" s="743"/>
      <c r="G37" s="743"/>
      <c r="H37" s="743"/>
      <c r="I37" s="743"/>
      <c r="J37" s="744"/>
    </row>
    <row r="38" spans="1:10" ht="12.75" customHeight="1" x14ac:dyDescent="0.2">
      <c r="A38" s="742"/>
      <c r="B38" s="743"/>
      <c r="C38" s="743"/>
      <c r="D38" s="743"/>
      <c r="E38" s="743"/>
      <c r="F38" s="743"/>
      <c r="G38" s="743"/>
      <c r="H38" s="743"/>
      <c r="I38" s="743"/>
      <c r="J38" s="744"/>
    </row>
    <row r="39" spans="1:10" ht="12.75" customHeight="1" x14ac:dyDescent="0.2">
      <c r="A39" s="742"/>
      <c r="B39" s="743"/>
      <c r="C39" s="743"/>
      <c r="D39" s="743"/>
      <c r="E39" s="743"/>
      <c r="F39" s="743"/>
      <c r="G39" s="743"/>
      <c r="H39" s="743"/>
      <c r="I39" s="743"/>
      <c r="J39" s="744"/>
    </row>
    <row r="40" spans="1:10" ht="12.75" customHeight="1" x14ac:dyDescent="0.2">
      <c r="A40" s="742"/>
      <c r="B40" s="743"/>
      <c r="C40" s="743"/>
      <c r="D40" s="743"/>
      <c r="E40" s="743"/>
      <c r="F40" s="743"/>
      <c r="G40" s="743"/>
      <c r="H40" s="743"/>
      <c r="I40" s="743"/>
      <c r="J40" s="744"/>
    </row>
    <row r="41" spans="1:10" ht="12.75" customHeight="1" x14ac:dyDescent="0.2">
      <c r="A41" s="742"/>
      <c r="B41" s="743"/>
      <c r="C41" s="743"/>
      <c r="D41" s="743"/>
      <c r="E41" s="743"/>
      <c r="F41" s="743"/>
      <c r="G41" s="743"/>
      <c r="H41" s="743"/>
      <c r="I41" s="743"/>
      <c r="J41" s="744"/>
    </row>
    <row r="42" spans="1:10" ht="12.75" customHeight="1" x14ac:dyDescent="0.2">
      <c r="A42" s="742"/>
      <c r="B42" s="743"/>
      <c r="C42" s="743"/>
      <c r="D42" s="743"/>
      <c r="E42" s="743"/>
      <c r="F42" s="743"/>
      <c r="G42" s="743"/>
      <c r="H42" s="743"/>
      <c r="I42" s="743"/>
      <c r="J42" s="744"/>
    </row>
    <row r="43" spans="1:10" s="61" customFormat="1" x14ac:dyDescent="0.2">
      <c r="A43" s="55"/>
      <c r="B43" s="56"/>
      <c r="C43" s="57"/>
      <c r="D43" s="58"/>
      <c r="E43" s="58"/>
      <c r="F43" s="58"/>
      <c r="G43" s="58"/>
      <c r="H43" s="59"/>
      <c r="I43" s="57"/>
      <c r="J43" s="60"/>
    </row>
    <row r="44" spans="1:10" s="61" customFormat="1" ht="25.5" customHeight="1" x14ac:dyDescent="0.2">
      <c r="A44" s="730" t="s">
        <v>172</v>
      </c>
      <c r="B44" s="731"/>
      <c r="C44" s="731"/>
      <c r="D44" s="731"/>
      <c r="E44" s="731"/>
      <c r="F44" s="731"/>
      <c r="G44" s="731"/>
      <c r="H44" s="731"/>
      <c r="I44" s="731"/>
      <c r="J44" s="732"/>
    </row>
    <row r="45" spans="1:10" s="61" customFormat="1" ht="12.75" customHeight="1" x14ac:dyDescent="0.2">
      <c r="A45" s="475" t="s">
        <v>169</v>
      </c>
      <c r="B45" s="476"/>
      <c r="C45" s="476"/>
      <c r="D45" s="476"/>
      <c r="E45" s="476"/>
      <c r="F45" s="746">
        <v>0.84</v>
      </c>
      <c r="G45" s="746"/>
      <c r="H45" s="746"/>
      <c r="I45" s="746"/>
      <c r="J45" s="747"/>
    </row>
    <row r="46" spans="1:10" ht="12.75" customHeight="1" x14ac:dyDescent="0.2">
      <c r="A46" s="721" t="s">
        <v>369</v>
      </c>
      <c r="B46" s="722"/>
      <c r="C46" s="722"/>
      <c r="D46" s="722"/>
      <c r="E46" s="722"/>
      <c r="F46" s="722"/>
      <c r="G46" s="722"/>
      <c r="H46" s="722"/>
      <c r="I46" s="722"/>
      <c r="J46" s="723"/>
    </row>
    <row r="47" spans="1:10" ht="12.75" customHeight="1" x14ac:dyDescent="0.2">
      <c r="A47" s="724"/>
      <c r="B47" s="725"/>
      <c r="C47" s="725"/>
      <c r="D47" s="725"/>
      <c r="E47" s="725"/>
      <c r="F47" s="725"/>
      <c r="G47" s="725"/>
      <c r="H47" s="725"/>
      <c r="I47" s="725"/>
      <c r="J47" s="726"/>
    </row>
    <row r="48" spans="1:10" ht="12.75" customHeight="1" x14ac:dyDescent="0.2">
      <c r="A48" s="724"/>
      <c r="B48" s="725"/>
      <c r="C48" s="725"/>
      <c r="D48" s="725"/>
      <c r="E48" s="725"/>
      <c r="F48" s="725"/>
      <c r="G48" s="725"/>
      <c r="H48" s="725"/>
      <c r="I48" s="725"/>
      <c r="J48" s="726"/>
    </row>
    <row r="49" spans="1:10" ht="15" customHeight="1" x14ac:dyDescent="0.2">
      <c r="A49" s="727"/>
      <c r="B49" s="728"/>
      <c r="C49" s="728"/>
      <c r="D49" s="728"/>
      <c r="E49" s="728"/>
      <c r="F49" s="728"/>
      <c r="G49" s="728"/>
      <c r="H49" s="728"/>
      <c r="I49" s="728"/>
      <c r="J49" s="729"/>
    </row>
    <row r="50" spans="1:10" ht="12.75" customHeight="1" x14ac:dyDescent="0.2">
      <c r="A50" s="742" t="s">
        <v>1151</v>
      </c>
      <c r="B50" s="743"/>
      <c r="C50" s="743"/>
      <c r="D50" s="743"/>
      <c r="E50" s="743"/>
      <c r="F50" s="743"/>
      <c r="G50" s="743"/>
      <c r="H50" s="743"/>
      <c r="I50" s="743"/>
      <c r="J50" s="744"/>
    </row>
    <row r="51" spans="1:10" ht="12.75" customHeight="1" x14ac:dyDescent="0.2">
      <c r="A51" s="742"/>
      <c r="B51" s="743"/>
      <c r="C51" s="743"/>
      <c r="D51" s="743"/>
      <c r="E51" s="743"/>
      <c r="F51" s="743"/>
      <c r="G51" s="743"/>
      <c r="H51" s="743"/>
      <c r="I51" s="743"/>
      <c r="J51" s="744"/>
    </row>
    <row r="52" spans="1:10" ht="12.75" customHeight="1" x14ac:dyDescent="0.2">
      <c r="A52" s="742"/>
      <c r="B52" s="743"/>
      <c r="C52" s="743"/>
      <c r="D52" s="743"/>
      <c r="E52" s="743"/>
      <c r="F52" s="743"/>
      <c r="G52" s="743"/>
      <c r="H52" s="743"/>
      <c r="I52" s="743"/>
      <c r="J52" s="744"/>
    </row>
    <row r="53" spans="1:10" ht="12.75" customHeight="1" x14ac:dyDescent="0.2">
      <c r="A53" s="742"/>
      <c r="B53" s="743"/>
      <c r="C53" s="743"/>
      <c r="D53" s="743"/>
      <c r="E53" s="743"/>
      <c r="F53" s="743"/>
      <c r="G53" s="743"/>
      <c r="H53" s="743"/>
      <c r="I53" s="743"/>
      <c r="J53" s="744"/>
    </row>
    <row r="54" spans="1:10" ht="12.75" customHeight="1" x14ac:dyDescent="0.2">
      <c r="A54" s="742"/>
      <c r="B54" s="743"/>
      <c r="C54" s="743"/>
      <c r="D54" s="743"/>
      <c r="E54" s="743"/>
      <c r="F54" s="743"/>
      <c r="G54" s="743"/>
      <c r="H54" s="743"/>
      <c r="I54" s="743"/>
      <c r="J54" s="744"/>
    </row>
    <row r="55" spans="1:10" ht="12.75" customHeight="1" x14ac:dyDescent="0.2">
      <c r="A55" s="742"/>
      <c r="B55" s="743"/>
      <c r="C55" s="743"/>
      <c r="D55" s="743"/>
      <c r="E55" s="743"/>
      <c r="F55" s="743"/>
      <c r="G55" s="743"/>
      <c r="H55" s="743"/>
      <c r="I55" s="743"/>
      <c r="J55" s="744"/>
    </row>
    <row r="56" spans="1:10" ht="12.75" customHeight="1" x14ac:dyDescent="0.2">
      <c r="A56" s="742"/>
      <c r="B56" s="743"/>
      <c r="C56" s="743"/>
      <c r="D56" s="743"/>
      <c r="E56" s="743"/>
      <c r="F56" s="743"/>
      <c r="G56" s="743"/>
      <c r="H56" s="743"/>
      <c r="I56" s="743"/>
      <c r="J56" s="744"/>
    </row>
    <row r="57" spans="1:10" ht="12.75" customHeight="1" x14ac:dyDescent="0.2">
      <c r="A57" s="742"/>
      <c r="B57" s="743"/>
      <c r="C57" s="743"/>
      <c r="D57" s="743"/>
      <c r="E57" s="743"/>
      <c r="F57" s="743"/>
      <c r="G57" s="743"/>
      <c r="H57" s="743"/>
      <c r="I57" s="743"/>
      <c r="J57" s="744"/>
    </row>
    <row r="58" spans="1:10" ht="12.75" customHeight="1" x14ac:dyDescent="0.2">
      <c r="A58" s="742"/>
      <c r="B58" s="743"/>
      <c r="C58" s="743"/>
      <c r="D58" s="743"/>
      <c r="E58" s="743"/>
      <c r="F58" s="743"/>
      <c r="G58" s="743"/>
      <c r="H58" s="743"/>
      <c r="I58" s="743"/>
      <c r="J58" s="744"/>
    </row>
    <row r="59" spans="1:10" ht="12.75" customHeight="1" x14ac:dyDescent="0.2">
      <c r="A59" s="742"/>
      <c r="B59" s="743"/>
      <c r="C59" s="743"/>
      <c r="D59" s="743"/>
      <c r="E59" s="743"/>
      <c r="F59" s="743"/>
      <c r="G59" s="743"/>
      <c r="H59" s="743"/>
      <c r="I59" s="743"/>
      <c r="J59" s="744"/>
    </row>
    <row r="60" spans="1:10" ht="12.75" customHeight="1" x14ac:dyDescent="0.2">
      <c r="A60" s="742"/>
      <c r="B60" s="743"/>
      <c r="C60" s="743"/>
      <c r="D60" s="743"/>
      <c r="E60" s="743"/>
      <c r="F60" s="743"/>
      <c r="G60" s="743"/>
      <c r="H60" s="743"/>
      <c r="I60" s="743"/>
      <c r="J60" s="744"/>
    </row>
    <row r="61" spans="1:10" ht="12.75" customHeight="1" x14ac:dyDescent="0.2">
      <c r="A61" s="742"/>
      <c r="B61" s="743"/>
      <c r="C61" s="743"/>
      <c r="D61" s="743"/>
      <c r="E61" s="743"/>
      <c r="F61" s="743"/>
      <c r="G61" s="743"/>
      <c r="H61" s="743"/>
      <c r="I61" s="743"/>
      <c r="J61" s="744"/>
    </row>
    <row r="62" spans="1:10" ht="12.75" customHeight="1" x14ac:dyDescent="0.2">
      <c r="A62" s="742"/>
      <c r="B62" s="743"/>
      <c r="C62" s="743"/>
      <c r="D62" s="743"/>
      <c r="E62" s="743"/>
      <c r="F62" s="743"/>
      <c r="G62" s="743"/>
      <c r="H62" s="743"/>
      <c r="I62" s="743"/>
      <c r="J62" s="744"/>
    </row>
    <row r="63" spans="1:10" ht="12.75" customHeight="1" x14ac:dyDescent="0.2">
      <c r="A63" s="742"/>
      <c r="B63" s="743"/>
      <c r="C63" s="743"/>
      <c r="D63" s="743"/>
      <c r="E63" s="743"/>
      <c r="F63" s="743"/>
      <c r="G63" s="743"/>
      <c r="H63" s="743"/>
      <c r="I63" s="743"/>
      <c r="J63" s="744"/>
    </row>
    <row r="64" spans="1:10" ht="12.75" customHeight="1" x14ac:dyDescent="0.2">
      <c r="A64" s="742"/>
      <c r="B64" s="743"/>
      <c r="C64" s="743"/>
      <c r="D64" s="743"/>
      <c r="E64" s="743"/>
      <c r="F64" s="743"/>
      <c r="G64" s="743"/>
      <c r="H64" s="743"/>
      <c r="I64" s="743"/>
      <c r="J64" s="744"/>
    </row>
    <row r="65" spans="1:10" ht="12.75" customHeight="1" x14ac:dyDescent="0.2">
      <c r="A65" s="742"/>
      <c r="B65" s="743"/>
      <c r="C65" s="743"/>
      <c r="D65" s="743"/>
      <c r="E65" s="743"/>
      <c r="F65" s="743"/>
      <c r="G65" s="743"/>
      <c r="H65" s="743"/>
      <c r="I65" s="743"/>
      <c r="J65" s="744"/>
    </row>
    <row r="66" spans="1:10" ht="12.75" customHeight="1" x14ac:dyDescent="0.2">
      <c r="A66" s="742"/>
      <c r="B66" s="743"/>
      <c r="C66" s="743"/>
      <c r="D66" s="743"/>
      <c r="E66" s="743"/>
      <c r="F66" s="743"/>
      <c r="G66" s="743"/>
      <c r="H66" s="743"/>
      <c r="I66" s="743"/>
      <c r="J66" s="744"/>
    </row>
    <row r="67" spans="1:10" ht="12.75" customHeight="1" x14ac:dyDescent="0.2">
      <c r="A67" s="742"/>
      <c r="B67" s="743"/>
      <c r="C67" s="743"/>
      <c r="D67" s="743"/>
      <c r="E67" s="743"/>
      <c r="F67" s="743"/>
      <c r="G67" s="743"/>
      <c r="H67" s="743"/>
      <c r="I67" s="743"/>
      <c r="J67" s="744"/>
    </row>
    <row r="68" spans="1:10" ht="12.75" customHeight="1" x14ac:dyDescent="0.2">
      <c r="A68" s="742"/>
      <c r="B68" s="743"/>
      <c r="C68" s="743"/>
      <c r="D68" s="743"/>
      <c r="E68" s="743"/>
      <c r="F68" s="743"/>
      <c r="G68" s="743"/>
      <c r="H68" s="743"/>
      <c r="I68" s="743"/>
      <c r="J68" s="744"/>
    </row>
    <row r="69" spans="1:10" ht="12.75" customHeight="1" x14ac:dyDescent="0.2">
      <c r="A69" s="742"/>
      <c r="B69" s="743"/>
      <c r="C69" s="743"/>
      <c r="D69" s="743"/>
      <c r="E69" s="743"/>
      <c r="F69" s="743"/>
      <c r="G69" s="743"/>
      <c r="H69" s="743"/>
      <c r="I69" s="743"/>
      <c r="J69" s="744"/>
    </row>
    <row r="70" spans="1:10" ht="12.75" customHeight="1" x14ac:dyDescent="0.2">
      <c r="A70" s="742"/>
      <c r="B70" s="743"/>
      <c r="C70" s="743"/>
      <c r="D70" s="743"/>
      <c r="E70" s="743"/>
      <c r="F70" s="743"/>
      <c r="G70" s="743"/>
      <c r="H70" s="743"/>
      <c r="I70" s="743"/>
      <c r="J70" s="744"/>
    </row>
    <row r="71" spans="1:10" ht="12.75" customHeight="1" x14ac:dyDescent="0.2">
      <c r="A71" s="742"/>
      <c r="B71" s="743"/>
      <c r="C71" s="743"/>
      <c r="D71" s="743"/>
      <c r="E71" s="743"/>
      <c r="F71" s="743"/>
      <c r="G71" s="743"/>
      <c r="H71" s="743"/>
      <c r="I71" s="743"/>
      <c r="J71" s="744"/>
    </row>
    <row r="72" spans="1:10" ht="12.75" customHeight="1" x14ac:dyDescent="0.2">
      <c r="A72" s="742"/>
      <c r="B72" s="743"/>
      <c r="C72" s="743"/>
      <c r="D72" s="743"/>
      <c r="E72" s="743"/>
      <c r="F72" s="743"/>
      <c r="G72" s="743"/>
      <c r="H72" s="743"/>
      <c r="I72" s="743"/>
      <c r="J72" s="744"/>
    </row>
    <row r="73" spans="1:10" ht="12.75" customHeight="1" x14ac:dyDescent="0.2">
      <c r="A73" s="742"/>
      <c r="B73" s="743"/>
      <c r="C73" s="743"/>
      <c r="D73" s="743"/>
      <c r="E73" s="743"/>
      <c r="F73" s="743"/>
      <c r="G73" s="743"/>
      <c r="H73" s="743"/>
      <c r="I73" s="743"/>
      <c r="J73" s="744"/>
    </row>
    <row r="74" spans="1:10" ht="12.75" customHeight="1" x14ac:dyDescent="0.2">
      <c r="A74" s="742"/>
      <c r="B74" s="743"/>
      <c r="C74" s="743"/>
      <c r="D74" s="743"/>
      <c r="E74" s="743"/>
      <c r="F74" s="743"/>
      <c r="G74" s="743"/>
      <c r="H74" s="743"/>
      <c r="I74" s="743"/>
      <c r="J74" s="744"/>
    </row>
    <row r="75" spans="1:10" ht="12.75" customHeight="1" x14ac:dyDescent="0.2">
      <c r="A75" s="742"/>
      <c r="B75" s="743"/>
      <c r="C75" s="743"/>
      <c r="D75" s="743"/>
      <c r="E75" s="743"/>
      <c r="F75" s="743"/>
      <c r="G75" s="743"/>
      <c r="H75" s="743"/>
      <c r="I75" s="743"/>
      <c r="J75" s="744"/>
    </row>
    <row r="76" spans="1:10" ht="12.75" customHeight="1" x14ac:dyDescent="0.2">
      <c r="A76" s="742"/>
      <c r="B76" s="743"/>
      <c r="C76" s="743"/>
      <c r="D76" s="743"/>
      <c r="E76" s="743"/>
      <c r="F76" s="743"/>
      <c r="G76" s="743"/>
      <c r="H76" s="743"/>
      <c r="I76" s="743"/>
      <c r="J76" s="744"/>
    </row>
    <row r="77" spans="1:10" ht="12.75" customHeight="1" x14ac:dyDescent="0.2">
      <c r="A77" s="742"/>
      <c r="B77" s="743"/>
      <c r="C77" s="743"/>
      <c r="D77" s="743"/>
      <c r="E77" s="743"/>
      <c r="F77" s="743"/>
      <c r="G77" s="743"/>
      <c r="H77" s="743"/>
      <c r="I77" s="743"/>
      <c r="J77" s="744"/>
    </row>
    <row r="78" spans="1:10" ht="12.75" customHeight="1" x14ac:dyDescent="0.2">
      <c r="A78" s="742"/>
      <c r="B78" s="743"/>
      <c r="C78" s="743"/>
      <c r="D78" s="743"/>
      <c r="E78" s="743"/>
      <c r="F78" s="743"/>
      <c r="G78" s="743"/>
      <c r="H78" s="743"/>
      <c r="I78" s="743"/>
      <c r="J78" s="744"/>
    </row>
    <row r="79" spans="1:10" ht="12.75" customHeight="1" x14ac:dyDescent="0.2">
      <c r="A79" s="742"/>
      <c r="B79" s="743"/>
      <c r="C79" s="743"/>
      <c r="D79" s="743"/>
      <c r="E79" s="743"/>
      <c r="F79" s="743"/>
      <c r="G79" s="743"/>
      <c r="H79" s="743"/>
      <c r="I79" s="743"/>
      <c r="J79" s="744"/>
    </row>
    <row r="80" spans="1:10" ht="12.75" customHeight="1" x14ac:dyDescent="0.2">
      <c r="A80" s="742"/>
      <c r="B80" s="743"/>
      <c r="C80" s="743"/>
      <c r="D80" s="743"/>
      <c r="E80" s="743"/>
      <c r="F80" s="743"/>
      <c r="G80" s="743"/>
      <c r="H80" s="743"/>
      <c r="I80" s="743"/>
      <c r="J80" s="744"/>
    </row>
    <row r="81" spans="1:10" ht="12.75" customHeight="1" x14ac:dyDescent="0.2">
      <c r="A81" s="742"/>
      <c r="B81" s="743"/>
      <c r="C81" s="743"/>
      <c r="D81" s="743"/>
      <c r="E81" s="743"/>
      <c r="F81" s="743"/>
      <c r="G81" s="743"/>
      <c r="H81" s="743"/>
      <c r="I81" s="743"/>
      <c r="J81" s="744"/>
    </row>
    <row r="82" spans="1:10" ht="12.75" customHeight="1" x14ac:dyDescent="0.2">
      <c r="A82" s="742"/>
      <c r="B82" s="743"/>
      <c r="C82" s="743"/>
      <c r="D82" s="743"/>
      <c r="E82" s="743"/>
      <c r="F82" s="743"/>
      <c r="G82" s="743"/>
      <c r="H82" s="743"/>
      <c r="I82" s="743"/>
      <c r="J82" s="744"/>
    </row>
    <row r="83" spans="1:10" ht="12.75" customHeight="1" x14ac:dyDescent="0.2">
      <c r="A83" s="742"/>
      <c r="B83" s="743"/>
      <c r="C83" s="743"/>
      <c r="D83" s="743"/>
      <c r="E83" s="743"/>
      <c r="F83" s="743"/>
      <c r="G83" s="743"/>
      <c r="H83" s="743"/>
      <c r="I83" s="743"/>
      <c r="J83" s="744"/>
    </row>
    <row r="84" spans="1:10" ht="12.75" customHeight="1" x14ac:dyDescent="0.2">
      <c r="A84" s="742"/>
      <c r="B84" s="743"/>
      <c r="C84" s="743"/>
      <c r="D84" s="743"/>
      <c r="E84" s="743"/>
      <c r="F84" s="743"/>
      <c r="G84" s="743"/>
      <c r="H84" s="743"/>
      <c r="I84" s="743"/>
      <c r="J84" s="744"/>
    </row>
    <row r="85" spans="1:10" s="61" customFormat="1" x14ac:dyDescent="0.2">
      <c r="A85" s="55"/>
      <c r="B85" s="56"/>
      <c r="C85" s="57"/>
      <c r="D85" s="58"/>
      <c r="E85" s="58"/>
      <c r="F85" s="58"/>
      <c r="G85" s="58"/>
      <c r="H85" s="59"/>
      <c r="I85" s="57"/>
      <c r="J85" s="60"/>
    </row>
    <row r="86" spans="1:10" s="61" customFormat="1" ht="25.5" customHeight="1" x14ac:dyDescent="0.2">
      <c r="A86" s="730" t="s">
        <v>173</v>
      </c>
      <c r="B86" s="731"/>
      <c r="C86" s="731"/>
      <c r="D86" s="731"/>
      <c r="E86" s="731"/>
      <c r="F86" s="731"/>
      <c r="G86" s="731"/>
      <c r="H86" s="731"/>
      <c r="I86" s="731"/>
      <c r="J86" s="732"/>
    </row>
    <row r="87" spans="1:10" s="61" customFormat="1" ht="12.75" customHeight="1" x14ac:dyDescent="0.2">
      <c r="A87" s="475" t="s">
        <v>169</v>
      </c>
      <c r="B87" s="476"/>
      <c r="C87" s="476"/>
      <c r="D87" s="476"/>
      <c r="E87" s="476"/>
      <c r="F87" s="746"/>
      <c r="G87" s="746"/>
      <c r="H87" s="746"/>
      <c r="I87" s="746"/>
      <c r="J87" s="747"/>
    </row>
    <row r="88" spans="1:10" ht="12.75" customHeight="1" x14ac:dyDescent="0.2">
      <c r="A88" s="721" t="s">
        <v>369</v>
      </c>
      <c r="B88" s="722"/>
      <c r="C88" s="722"/>
      <c r="D88" s="722"/>
      <c r="E88" s="722"/>
      <c r="F88" s="722"/>
      <c r="G88" s="722"/>
      <c r="H88" s="722"/>
      <c r="I88" s="722"/>
      <c r="J88" s="723"/>
    </row>
    <row r="89" spans="1:10" ht="12.75" customHeight="1" x14ac:dyDescent="0.2">
      <c r="A89" s="724"/>
      <c r="B89" s="725"/>
      <c r="C89" s="725"/>
      <c r="D89" s="725"/>
      <c r="E89" s="725"/>
      <c r="F89" s="725"/>
      <c r="G89" s="725"/>
      <c r="H89" s="725"/>
      <c r="I89" s="725"/>
      <c r="J89" s="726"/>
    </row>
    <row r="90" spans="1:10" ht="12.75" customHeight="1" x14ac:dyDescent="0.2">
      <c r="A90" s="724"/>
      <c r="B90" s="725"/>
      <c r="C90" s="725"/>
      <c r="D90" s="725"/>
      <c r="E90" s="725"/>
      <c r="F90" s="725"/>
      <c r="G90" s="725"/>
      <c r="H90" s="725"/>
      <c r="I90" s="725"/>
      <c r="J90" s="726"/>
    </row>
    <row r="91" spans="1:10" ht="15" customHeight="1" x14ac:dyDescent="0.2">
      <c r="A91" s="727"/>
      <c r="B91" s="728"/>
      <c r="C91" s="728"/>
      <c r="D91" s="728"/>
      <c r="E91" s="728"/>
      <c r="F91" s="728"/>
      <c r="G91" s="728"/>
      <c r="H91" s="728"/>
      <c r="I91" s="728"/>
      <c r="J91" s="729"/>
    </row>
    <row r="92" spans="1:10" ht="12.75" customHeight="1" x14ac:dyDescent="0.2">
      <c r="A92" s="742"/>
      <c r="B92" s="743"/>
      <c r="C92" s="743"/>
      <c r="D92" s="743"/>
      <c r="E92" s="743"/>
      <c r="F92" s="743"/>
      <c r="G92" s="743"/>
      <c r="H92" s="743"/>
      <c r="I92" s="743"/>
      <c r="J92" s="744"/>
    </row>
    <row r="93" spans="1:10" ht="12.75" customHeight="1" x14ac:dyDescent="0.2">
      <c r="A93" s="742"/>
      <c r="B93" s="743"/>
      <c r="C93" s="743"/>
      <c r="D93" s="743"/>
      <c r="E93" s="743"/>
      <c r="F93" s="743"/>
      <c r="G93" s="743"/>
      <c r="H93" s="743"/>
      <c r="I93" s="743"/>
      <c r="J93" s="744"/>
    </row>
    <row r="94" spans="1:10" ht="12.75" customHeight="1" x14ac:dyDescent="0.2">
      <c r="A94" s="742"/>
      <c r="B94" s="743"/>
      <c r="C94" s="743"/>
      <c r="D94" s="743"/>
      <c r="E94" s="743"/>
      <c r="F94" s="743"/>
      <c r="G94" s="743"/>
      <c r="H94" s="743"/>
      <c r="I94" s="743"/>
      <c r="J94" s="744"/>
    </row>
    <row r="95" spans="1:10" ht="12.75" customHeight="1" x14ac:dyDescent="0.2">
      <c r="A95" s="742"/>
      <c r="B95" s="743"/>
      <c r="C95" s="743"/>
      <c r="D95" s="743"/>
      <c r="E95" s="743"/>
      <c r="F95" s="743"/>
      <c r="G95" s="743"/>
      <c r="H95" s="743"/>
      <c r="I95" s="743"/>
      <c r="J95" s="744"/>
    </row>
    <row r="96" spans="1:10" ht="12.75" customHeight="1" x14ac:dyDescent="0.2">
      <c r="A96" s="742"/>
      <c r="B96" s="743"/>
      <c r="C96" s="743"/>
      <c r="D96" s="743"/>
      <c r="E96" s="743"/>
      <c r="F96" s="743"/>
      <c r="G96" s="743"/>
      <c r="H96" s="743"/>
      <c r="I96" s="743"/>
      <c r="J96" s="744"/>
    </row>
    <row r="97" spans="1:10" ht="12.75" customHeight="1" x14ac:dyDescent="0.2">
      <c r="A97" s="742"/>
      <c r="B97" s="743"/>
      <c r="C97" s="743"/>
      <c r="D97" s="743"/>
      <c r="E97" s="743"/>
      <c r="F97" s="743"/>
      <c r="G97" s="743"/>
      <c r="H97" s="743"/>
      <c r="I97" s="743"/>
      <c r="J97" s="744"/>
    </row>
    <row r="98" spans="1:10" ht="12.75" customHeight="1" x14ac:dyDescent="0.2">
      <c r="A98" s="742"/>
      <c r="B98" s="743"/>
      <c r="C98" s="743"/>
      <c r="D98" s="743"/>
      <c r="E98" s="743"/>
      <c r="F98" s="743"/>
      <c r="G98" s="743"/>
      <c r="H98" s="743"/>
      <c r="I98" s="743"/>
      <c r="J98" s="744"/>
    </row>
    <row r="99" spans="1:10" ht="12.75" customHeight="1" x14ac:dyDescent="0.2">
      <c r="A99" s="742"/>
      <c r="B99" s="743"/>
      <c r="C99" s="743"/>
      <c r="D99" s="743"/>
      <c r="E99" s="743"/>
      <c r="F99" s="743"/>
      <c r="G99" s="743"/>
      <c r="H99" s="743"/>
      <c r="I99" s="743"/>
      <c r="J99" s="744"/>
    </row>
    <row r="100" spans="1:10" ht="12.75" customHeight="1" x14ac:dyDescent="0.2">
      <c r="A100" s="742"/>
      <c r="B100" s="743"/>
      <c r="C100" s="743"/>
      <c r="D100" s="743"/>
      <c r="E100" s="743"/>
      <c r="F100" s="743"/>
      <c r="G100" s="743"/>
      <c r="H100" s="743"/>
      <c r="I100" s="743"/>
      <c r="J100" s="744"/>
    </row>
    <row r="101" spans="1:10" ht="12.75" customHeight="1" x14ac:dyDescent="0.2">
      <c r="A101" s="742"/>
      <c r="B101" s="743"/>
      <c r="C101" s="743"/>
      <c r="D101" s="743"/>
      <c r="E101" s="743"/>
      <c r="F101" s="743"/>
      <c r="G101" s="743"/>
      <c r="H101" s="743"/>
      <c r="I101" s="743"/>
      <c r="J101" s="744"/>
    </row>
    <row r="102" spans="1:10" ht="12.75" customHeight="1" x14ac:dyDescent="0.2">
      <c r="A102" s="742"/>
      <c r="B102" s="743"/>
      <c r="C102" s="743"/>
      <c r="D102" s="743"/>
      <c r="E102" s="743"/>
      <c r="F102" s="743"/>
      <c r="G102" s="743"/>
      <c r="H102" s="743"/>
      <c r="I102" s="743"/>
      <c r="J102" s="744"/>
    </row>
    <row r="103" spans="1:10" ht="12.75" customHeight="1" x14ac:dyDescent="0.2">
      <c r="A103" s="742"/>
      <c r="B103" s="743"/>
      <c r="C103" s="743"/>
      <c r="D103" s="743"/>
      <c r="E103" s="743"/>
      <c r="F103" s="743"/>
      <c r="G103" s="743"/>
      <c r="H103" s="743"/>
      <c r="I103" s="743"/>
      <c r="J103" s="744"/>
    </row>
    <row r="104" spans="1:10" ht="12.75" customHeight="1" x14ac:dyDescent="0.2">
      <c r="A104" s="742"/>
      <c r="B104" s="743"/>
      <c r="C104" s="743"/>
      <c r="D104" s="743"/>
      <c r="E104" s="743"/>
      <c r="F104" s="743"/>
      <c r="G104" s="743"/>
      <c r="H104" s="743"/>
      <c r="I104" s="743"/>
      <c r="J104" s="744"/>
    </row>
    <row r="105" spans="1:10" ht="12.75" customHeight="1" x14ac:dyDescent="0.2">
      <c r="A105" s="742"/>
      <c r="B105" s="743"/>
      <c r="C105" s="743"/>
      <c r="D105" s="743"/>
      <c r="E105" s="743"/>
      <c r="F105" s="743"/>
      <c r="G105" s="743"/>
      <c r="H105" s="743"/>
      <c r="I105" s="743"/>
      <c r="J105" s="744"/>
    </row>
    <row r="106" spans="1:10" ht="12.75" customHeight="1" x14ac:dyDescent="0.2">
      <c r="A106" s="742"/>
      <c r="B106" s="743"/>
      <c r="C106" s="743"/>
      <c r="D106" s="743"/>
      <c r="E106" s="743"/>
      <c r="F106" s="743"/>
      <c r="G106" s="743"/>
      <c r="H106" s="743"/>
      <c r="I106" s="743"/>
      <c r="J106" s="744"/>
    </row>
    <row r="107" spans="1:10" ht="12.75" customHeight="1" x14ac:dyDescent="0.2">
      <c r="A107" s="742"/>
      <c r="B107" s="743"/>
      <c r="C107" s="743"/>
      <c r="D107" s="743"/>
      <c r="E107" s="743"/>
      <c r="F107" s="743"/>
      <c r="G107" s="743"/>
      <c r="H107" s="743"/>
      <c r="I107" s="743"/>
      <c r="J107" s="744"/>
    </row>
    <row r="108" spans="1:10" ht="12.75" customHeight="1" x14ac:dyDescent="0.2">
      <c r="A108" s="742"/>
      <c r="B108" s="743"/>
      <c r="C108" s="743"/>
      <c r="D108" s="743"/>
      <c r="E108" s="743"/>
      <c r="F108" s="743"/>
      <c r="G108" s="743"/>
      <c r="H108" s="743"/>
      <c r="I108" s="743"/>
      <c r="J108" s="744"/>
    </row>
    <row r="109" spans="1:10" ht="12.75" customHeight="1" x14ac:dyDescent="0.2">
      <c r="A109" s="742"/>
      <c r="B109" s="743"/>
      <c r="C109" s="743"/>
      <c r="D109" s="743"/>
      <c r="E109" s="743"/>
      <c r="F109" s="743"/>
      <c r="G109" s="743"/>
      <c r="H109" s="743"/>
      <c r="I109" s="743"/>
      <c r="J109" s="744"/>
    </row>
    <row r="110" spans="1:10" ht="12.75" customHeight="1" x14ac:dyDescent="0.2">
      <c r="A110" s="742"/>
      <c r="B110" s="743"/>
      <c r="C110" s="743"/>
      <c r="D110" s="743"/>
      <c r="E110" s="743"/>
      <c r="F110" s="743"/>
      <c r="G110" s="743"/>
      <c r="H110" s="743"/>
      <c r="I110" s="743"/>
      <c r="J110" s="744"/>
    </row>
    <row r="111" spans="1:10" ht="12.75" customHeight="1" x14ac:dyDescent="0.2">
      <c r="A111" s="742"/>
      <c r="B111" s="743"/>
      <c r="C111" s="743"/>
      <c r="D111" s="743"/>
      <c r="E111" s="743"/>
      <c r="F111" s="743"/>
      <c r="G111" s="743"/>
      <c r="H111" s="743"/>
      <c r="I111" s="743"/>
      <c r="J111" s="744"/>
    </row>
    <row r="112" spans="1:10" ht="12.75" customHeight="1" x14ac:dyDescent="0.2">
      <c r="A112" s="742"/>
      <c r="B112" s="743"/>
      <c r="C112" s="743"/>
      <c r="D112" s="743"/>
      <c r="E112" s="743"/>
      <c r="F112" s="743"/>
      <c r="G112" s="743"/>
      <c r="H112" s="743"/>
      <c r="I112" s="743"/>
      <c r="J112" s="744"/>
    </row>
    <row r="113" spans="1:10" ht="12.75" customHeight="1" x14ac:dyDescent="0.2">
      <c r="A113" s="742"/>
      <c r="B113" s="743"/>
      <c r="C113" s="743"/>
      <c r="D113" s="743"/>
      <c r="E113" s="743"/>
      <c r="F113" s="743"/>
      <c r="G113" s="743"/>
      <c r="H113" s="743"/>
      <c r="I113" s="743"/>
      <c r="J113" s="744"/>
    </row>
    <row r="114" spans="1:10" ht="12.75" customHeight="1" x14ac:dyDescent="0.2">
      <c r="A114" s="742"/>
      <c r="B114" s="743"/>
      <c r="C114" s="743"/>
      <c r="D114" s="743"/>
      <c r="E114" s="743"/>
      <c r="F114" s="743"/>
      <c r="G114" s="743"/>
      <c r="H114" s="743"/>
      <c r="I114" s="743"/>
      <c r="J114" s="744"/>
    </row>
    <row r="115" spans="1:10" ht="12.75" customHeight="1" x14ac:dyDescent="0.2">
      <c r="A115" s="742"/>
      <c r="B115" s="743"/>
      <c r="C115" s="743"/>
      <c r="D115" s="743"/>
      <c r="E115" s="743"/>
      <c r="F115" s="743"/>
      <c r="G115" s="743"/>
      <c r="H115" s="743"/>
      <c r="I115" s="743"/>
      <c r="J115" s="744"/>
    </row>
    <row r="116" spans="1:10" ht="12.75" customHeight="1" x14ac:dyDescent="0.2">
      <c r="A116" s="742"/>
      <c r="B116" s="743"/>
      <c r="C116" s="743"/>
      <c r="D116" s="743"/>
      <c r="E116" s="743"/>
      <c r="F116" s="743"/>
      <c r="G116" s="743"/>
      <c r="H116" s="743"/>
      <c r="I116" s="743"/>
      <c r="J116" s="744"/>
    </row>
    <row r="117" spans="1:10" ht="12.75" customHeight="1" x14ac:dyDescent="0.2">
      <c r="A117" s="742"/>
      <c r="B117" s="743"/>
      <c r="C117" s="743"/>
      <c r="D117" s="743"/>
      <c r="E117" s="743"/>
      <c r="F117" s="743"/>
      <c r="G117" s="743"/>
      <c r="H117" s="743"/>
      <c r="I117" s="743"/>
      <c r="J117" s="744"/>
    </row>
    <row r="118" spans="1:10" ht="12.75" customHeight="1" x14ac:dyDescent="0.2">
      <c r="A118" s="742"/>
      <c r="B118" s="743"/>
      <c r="C118" s="743"/>
      <c r="D118" s="743"/>
      <c r="E118" s="743"/>
      <c r="F118" s="743"/>
      <c r="G118" s="743"/>
      <c r="H118" s="743"/>
      <c r="I118" s="743"/>
      <c r="J118" s="744"/>
    </row>
    <row r="119" spans="1:10" ht="12.75" customHeight="1" x14ac:dyDescent="0.2">
      <c r="A119" s="742"/>
      <c r="B119" s="743"/>
      <c r="C119" s="743"/>
      <c r="D119" s="743"/>
      <c r="E119" s="743"/>
      <c r="F119" s="743"/>
      <c r="G119" s="743"/>
      <c r="H119" s="743"/>
      <c r="I119" s="743"/>
      <c r="J119" s="744"/>
    </row>
    <row r="120" spans="1:10" ht="12.75" customHeight="1" x14ac:dyDescent="0.2">
      <c r="A120" s="742"/>
      <c r="B120" s="743"/>
      <c r="C120" s="743"/>
      <c r="D120" s="743"/>
      <c r="E120" s="743"/>
      <c r="F120" s="743"/>
      <c r="G120" s="743"/>
      <c r="H120" s="743"/>
      <c r="I120" s="743"/>
      <c r="J120" s="744"/>
    </row>
    <row r="121" spans="1:10" ht="12.75" customHeight="1" x14ac:dyDescent="0.2">
      <c r="A121" s="742"/>
      <c r="B121" s="743"/>
      <c r="C121" s="743"/>
      <c r="D121" s="743"/>
      <c r="E121" s="743"/>
      <c r="F121" s="743"/>
      <c r="G121" s="743"/>
      <c r="H121" s="743"/>
      <c r="I121" s="743"/>
      <c r="J121" s="744"/>
    </row>
    <row r="122" spans="1:10" ht="12.75" customHeight="1" x14ac:dyDescent="0.2">
      <c r="A122" s="742"/>
      <c r="B122" s="743"/>
      <c r="C122" s="743"/>
      <c r="D122" s="743"/>
      <c r="E122" s="743"/>
      <c r="F122" s="743"/>
      <c r="G122" s="743"/>
      <c r="H122" s="743"/>
      <c r="I122" s="743"/>
      <c r="J122" s="744"/>
    </row>
    <row r="123" spans="1:10" ht="12.75" customHeight="1" x14ac:dyDescent="0.2">
      <c r="A123" s="742"/>
      <c r="B123" s="743"/>
      <c r="C123" s="743"/>
      <c r="D123" s="743"/>
      <c r="E123" s="743"/>
      <c r="F123" s="743"/>
      <c r="G123" s="743"/>
      <c r="H123" s="743"/>
      <c r="I123" s="743"/>
      <c r="J123" s="744"/>
    </row>
    <row r="124" spans="1:10" ht="12.75" customHeight="1" x14ac:dyDescent="0.2">
      <c r="A124" s="742"/>
      <c r="B124" s="743"/>
      <c r="C124" s="743"/>
      <c r="D124" s="743"/>
      <c r="E124" s="743"/>
      <c r="F124" s="743"/>
      <c r="G124" s="743"/>
      <c r="H124" s="743"/>
      <c r="I124" s="743"/>
      <c r="J124" s="744"/>
    </row>
    <row r="125" spans="1:10" ht="12.75" customHeight="1" x14ac:dyDescent="0.2">
      <c r="A125" s="742"/>
      <c r="B125" s="743"/>
      <c r="C125" s="743"/>
      <c r="D125" s="743"/>
      <c r="E125" s="743"/>
      <c r="F125" s="743"/>
      <c r="G125" s="743"/>
      <c r="H125" s="743"/>
      <c r="I125" s="743"/>
      <c r="J125" s="744"/>
    </row>
    <row r="126" spans="1:10" ht="12.75" customHeight="1" x14ac:dyDescent="0.2">
      <c r="A126" s="742"/>
      <c r="B126" s="743"/>
      <c r="C126" s="743"/>
      <c r="D126" s="743"/>
      <c r="E126" s="743"/>
      <c r="F126" s="743"/>
      <c r="G126" s="743"/>
      <c r="H126" s="743"/>
      <c r="I126" s="743"/>
      <c r="J126" s="744"/>
    </row>
    <row r="127" spans="1:10" s="61" customFormat="1" x14ac:dyDescent="0.2">
      <c r="A127" s="55"/>
      <c r="B127" s="56"/>
      <c r="C127" s="57"/>
      <c r="D127" s="58"/>
      <c r="E127" s="58"/>
      <c r="F127" s="58"/>
      <c r="G127" s="58"/>
      <c r="H127" s="59"/>
      <c r="I127" s="57"/>
      <c r="J127" s="60"/>
    </row>
    <row r="128" spans="1:10" s="61" customFormat="1" ht="25.5" customHeight="1" x14ac:dyDescent="0.2">
      <c r="A128" s="730" t="s">
        <v>122</v>
      </c>
      <c r="B128" s="731"/>
      <c r="C128" s="731"/>
      <c r="D128" s="731"/>
      <c r="E128" s="731"/>
      <c r="F128" s="731"/>
      <c r="G128" s="731"/>
      <c r="H128" s="731"/>
      <c r="I128" s="731"/>
      <c r="J128" s="732"/>
    </row>
    <row r="129" spans="1:10" s="61" customFormat="1" ht="12.75" customHeight="1" x14ac:dyDescent="0.2">
      <c r="A129" s="475" t="s">
        <v>169</v>
      </c>
      <c r="B129" s="476"/>
      <c r="C129" s="476"/>
      <c r="D129" s="476"/>
      <c r="E129" s="476"/>
      <c r="F129" s="746"/>
      <c r="G129" s="746"/>
      <c r="H129" s="746"/>
      <c r="I129" s="746"/>
      <c r="J129" s="747"/>
    </row>
    <row r="130" spans="1:10" ht="12.75" customHeight="1" x14ac:dyDescent="0.2">
      <c r="A130" s="721" t="s">
        <v>369</v>
      </c>
      <c r="B130" s="722"/>
      <c r="C130" s="722"/>
      <c r="D130" s="722"/>
      <c r="E130" s="722"/>
      <c r="F130" s="722"/>
      <c r="G130" s="722"/>
      <c r="H130" s="722"/>
      <c r="I130" s="722"/>
      <c r="J130" s="723"/>
    </row>
    <row r="131" spans="1:10" ht="12.75" customHeight="1" x14ac:dyDescent="0.2">
      <c r="A131" s="724"/>
      <c r="B131" s="725"/>
      <c r="C131" s="725"/>
      <c r="D131" s="725"/>
      <c r="E131" s="725"/>
      <c r="F131" s="725"/>
      <c r="G131" s="725"/>
      <c r="H131" s="725"/>
      <c r="I131" s="725"/>
      <c r="J131" s="726"/>
    </row>
    <row r="132" spans="1:10" ht="12.75" customHeight="1" x14ac:dyDescent="0.2">
      <c r="A132" s="724"/>
      <c r="B132" s="725"/>
      <c r="C132" s="725"/>
      <c r="D132" s="725"/>
      <c r="E132" s="725"/>
      <c r="F132" s="725"/>
      <c r="G132" s="725"/>
      <c r="H132" s="725"/>
      <c r="I132" s="725"/>
      <c r="J132" s="726"/>
    </row>
    <row r="133" spans="1:10" ht="15" customHeight="1" x14ac:dyDescent="0.2">
      <c r="A133" s="727"/>
      <c r="B133" s="728"/>
      <c r="C133" s="728"/>
      <c r="D133" s="728"/>
      <c r="E133" s="728"/>
      <c r="F133" s="728"/>
      <c r="G133" s="728"/>
      <c r="H133" s="728"/>
      <c r="I133" s="728"/>
      <c r="J133" s="729"/>
    </row>
    <row r="134" spans="1:10" ht="12.75" customHeight="1" x14ac:dyDescent="0.2">
      <c r="A134" s="742"/>
      <c r="B134" s="743"/>
      <c r="C134" s="743"/>
      <c r="D134" s="743"/>
      <c r="E134" s="743"/>
      <c r="F134" s="743"/>
      <c r="G134" s="743"/>
      <c r="H134" s="743"/>
      <c r="I134" s="743"/>
      <c r="J134" s="744"/>
    </row>
    <row r="135" spans="1:10" ht="12.75" customHeight="1" x14ac:dyDescent="0.2">
      <c r="A135" s="742"/>
      <c r="B135" s="743"/>
      <c r="C135" s="743"/>
      <c r="D135" s="743"/>
      <c r="E135" s="743"/>
      <c r="F135" s="743"/>
      <c r="G135" s="743"/>
      <c r="H135" s="743"/>
      <c r="I135" s="743"/>
      <c r="J135" s="744"/>
    </row>
    <row r="136" spans="1:10" ht="12.75" customHeight="1" x14ac:dyDescent="0.2">
      <c r="A136" s="742"/>
      <c r="B136" s="743"/>
      <c r="C136" s="743"/>
      <c r="D136" s="743"/>
      <c r="E136" s="743"/>
      <c r="F136" s="743"/>
      <c r="G136" s="743"/>
      <c r="H136" s="743"/>
      <c r="I136" s="743"/>
      <c r="J136" s="744"/>
    </row>
    <row r="137" spans="1:10" ht="12.75" customHeight="1" x14ac:dyDescent="0.2">
      <c r="A137" s="742"/>
      <c r="B137" s="743"/>
      <c r="C137" s="743"/>
      <c r="D137" s="743"/>
      <c r="E137" s="743"/>
      <c r="F137" s="743"/>
      <c r="G137" s="743"/>
      <c r="H137" s="743"/>
      <c r="I137" s="743"/>
      <c r="J137" s="744"/>
    </row>
    <row r="138" spans="1:10" ht="12.75" customHeight="1" x14ac:dyDescent="0.2">
      <c r="A138" s="742"/>
      <c r="B138" s="743"/>
      <c r="C138" s="743"/>
      <c r="D138" s="743"/>
      <c r="E138" s="743"/>
      <c r="F138" s="743"/>
      <c r="G138" s="743"/>
      <c r="H138" s="743"/>
      <c r="I138" s="743"/>
      <c r="J138" s="744"/>
    </row>
    <row r="139" spans="1:10" ht="12.75" customHeight="1" x14ac:dyDescent="0.2">
      <c r="A139" s="742"/>
      <c r="B139" s="743"/>
      <c r="C139" s="743"/>
      <c r="D139" s="743"/>
      <c r="E139" s="743"/>
      <c r="F139" s="743"/>
      <c r="G139" s="743"/>
      <c r="H139" s="743"/>
      <c r="I139" s="743"/>
      <c r="J139" s="744"/>
    </row>
    <row r="140" spans="1:10" ht="12.75" customHeight="1" x14ac:dyDescent="0.2">
      <c r="A140" s="742"/>
      <c r="B140" s="743"/>
      <c r="C140" s="743"/>
      <c r="D140" s="743"/>
      <c r="E140" s="743"/>
      <c r="F140" s="743"/>
      <c r="G140" s="743"/>
      <c r="H140" s="743"/>
      <c r="I140" s="743"/>
      <c r="J140" s="744"/>
    </row>
    <row r="141" spans="1:10" ht="12.75" customHeight="1" x14ac:dyDescent="0.2">
      <c r="A141" s="742"/>
      <c r="B141" s="743"/>
      <c r="C141" s="743"/>
      <c r="D141" s="743"/>
      <c r="E141" s="743"/>
      <c r="F141" s="743"/>
      <c r="G141" s="743"/>
      <c r="H141" s="743"/>
      <c r="I141" s="743"/>
      <c r="J141" s="744"/>
    </row>
    <row r="142" spans="1:10" ht="12.75" customHeight="1" x14ac:dyDescent="0.2">
      <c r="A142" s="742"/>
      <c r="B142" s="743"/>
      <c r="C142" s="743"/>
      <c r="D142" s="743"/>
      <c r="E142" s="743"/>
      <c r="F142" s="743"/>
      <c r="G142" s="743"/>
      <c r="H142" s="743"/>
      <c r="I142" s="743"/>
      <c r="J142" s="744"/>
    </row>
    <row r="143" spans="1:10" ht="12.75" customHeight="1" x14ac:dyDescent="0.2">
      <c r="A143" s="742"/>
      <c r="B143" s="743"/>
      <c r="C143" s="743"/>
      <c r="D143" s="743"/>
      <c r="E143" s="743"/>
      <c r="F143" s="743"/>
      <c r="G143" s="743"/>
      <c r="H143" s="743"/>
      <c r="I143" s="743"/>
      <c r="J143" s="744"/>
    </row>
    <row r="144" spans="1:10" ht="12.75" customHeight="1" x14ac:dyDescent="0.2">
      <c r="A144" s="742"/>
      <c r="B144" s="743"/>
      <c r="C144" s="743"/>
      <c r="D144" s="743"/>
      <c r="E144" s="743"/>
      <c r="F144" s="743"/>
      <c r="G144" s="743"/>
      <c r="H144" s="743"/>
      <c r="I144" s="743"/>
      <c r="J144" s="744"/>
    </row>
    <row r="145" spans="1:10" ht="12.75" customHeight="1" x14ac:dyDescent="0.2">
      <c r="A145" s="742"/>
      <c r="B145" s="743"/>
      <c r="C145" s="743"/>
      <c r="D145" s="743"/>
      <c r="E145" s="743"/>
      <c r="F145" s="743"/>
      <c r="G145" s="743"/>
      <c r="H145" s="743"/>
      <c r="I145" s="743"/>
      <c r="J145" s="744"/>
    </row>
    <row r="146" spans="1:10" ht="12.75" customHeight="1" x14ac:dyDescent="0.2">
      <c r="A146" s="742"/>
      <c r="B146" s="743"/>
      <c r="C146" s="743"/>
      <c r="D146" s="743"/>
      <c r="E146" s="743"/>
      <c r="F146" s="743"/>
      <c r="G146" s="743"/>
      <c r="H146" s="743"/>
      <c r="I146" s="743"/>
      <c r="J146" s="744"/>
    </row>
    <row r="147" spans="1:10" ht="12.75" customHeight="1" x14ac:dyDescent="0.2">
      <c r="A147" s="742"/>
      <c r="B147" s="743"/>
      <c r="C147" s="743"/>
      <c r="D147" s="743"/>
      <c r="E147" s="743"/>
      <c r="F147" s="743"/>
      <c r="G147" s="743"/>
      <c r="H147" s="743"/>
      <c r="I147" s="743"/>
      <c r="J147" s="744"/>
    </row>
    <row r="148" spans="1:10" ht="12.75" customHeight="1" x14ac:dyDescent="0.2">
      <c r="A148" s="742"/>
      <c r="B148" s="743"/>
      <c r="C148" s="743"/>
      <c r="D148" s="743"/>
      <c r="E148" s="743"/>
      <c r="F148" s="743"/>
      <c r="G148" s="743"/>
      <c r="H148" s="743"/>
      <c r="I148" s="743"/>
      <c r="J148" s="744"/>
    </row>
    <row r="149" spans="1:10" ht="12.75" customHeight="1" x14ac:dyDescent="0.2">
      <c r="A149" s="742"/>
      <c r="B149" s="743"/>
      <c r="C149" s="743"/>
      <c r="D149" s="743"/>
      <c r="E149" s="743"/>
      <c r="F149" s="743"/>
      <c r="G149" s="743"/>
      <c r="H149" s="743"/>
      <c r="I149" s="743"/>
      <c r="J149" s="744"/>
    </row>
    <row r="150" spans="1:10" ht="12.75" customHeight="1" x14ac:dyDescent="0.2">
      <c r="A150" s="742"/>
      <c r="B150" s="743"/>
      <c r="C150" s="743"/>
      <c r="D150" s="743"/>
      <c r="E150" s="743"/>
      <c r="F150" s="743"/>
      <c r="G150" s="743"/>
      <c r="H150" s="743"/>
      <c r="I150" s="743"/>
      <c r="J150" s="744"/>
    </row>
    <row r="151" spans="1:10" ht="12.75" customHeight="1" x14ac:dyDescent="0.2">
      <c r="A151" s="742"/>
      <c r="B151" s="743"/>
      <c r="C151" s="743"/>
      <c r="D151" s="743"/>
      <c r="E151" s="743"/>
      <c r="F151" s="743"/>
      <c r="G151" s="743"/>
      <c r="H151" s="743"/>
      <c r="I151" s="743"/>
      <c r="J151" s="744"/>
    </row>
    <row r="152" spans="1:10" ht="12.75" customHeight="1" x14ac:dyDescent="0.2">
      <c r="A152" s="742"/>
      <c r="B152" s="743"/>
      <c r="C152" s="743"/>
      <c r="D152" s="743"/>
      <c r="E152" s="743"/>
      <c r="F152" s="743"/>
      <c r="G152" s="743"/>
      <c r="H152" s="743"/>
      <c r="I152" s="743"/>
      <c r="J152" s="744"/>
    </row>
    <row r="153" spans="1:10" ht="12.75" customHeight="1" x14ac:dyDescent="0.2">
      <c r="A153" s="742"/>
      <c r="B153" s="743"/>
      <c r="C153" s="743"/>
      <c r="D153" s="743"/>
      <c r="E153" s="743"/>
      <c r="F153" s="743"/>
      <c r="G153" s="743"/>
      <c r="H153" s="743"/>
      <c r="I153" s="743"/>
      <c r="J153" s="744"/>
    </row>
    <row r="154" spans="1:10" ht="12.75" customHeight="1" x14ac:dyDescent="0.2">
      <c r="A154" s="742"/>
      <c r="B154" s="743"/>
      <c r="C154" s="743"/>
      <c r="D154" s="743"/>
      <c r="E154" s="743"/>
      <c r="F154" s="743"/>
      <c r="G154" s="743"/>
      <c r="H154" s="743"/>
      <c r="I154" s="743"/>
      <c r="J154" s="744"/>
    </row>
    <row r="155" spans="1:10" ht="12.75" customHeight="1" x14ac:dyDescent="0.2">
      <c r="A155" s="742"/>
      <c r="B155" s="743"/>
      <c r="C155" s="743"/>
      <c r="D155" s="743"/>
      <c r="E155" s="743"/>
      <c r="F155" s="743"/>
      <c r="G155" s="743"/>
      <c r="H155" s="743"/>
      <c r="I155" s="743"/>
      <c r="J155" s="744"/>
    </row>
    <row r="156" spans="1:10" ht="12.75" customHeight="1" x14ac:dyDescent="0.2">
      <c r="A156" s="742"/>
      <c r="B156" s="743"/>
      <c r="C156" s="743"/>
      <c r="D156" s="743"/>
      <c r="E156" s="743"/>
      <c r="F156" s="743"/>
      <c r="G156" s="743"/>
      <c r="H156" s="743"/>
      <c r="I156" s="743"/>
      <c r="J156" s="744"/>
    </row>
    <row r="157" spans="1:10" ht="12.75" customHeight="1" x14ac:dyDescent="0.2">
      <c r="A157" s="742"/>
      <c r="B157" s="743"/>
      <c r="C157" s="743"/>
      <c r="D157" s="743"/>
      <c r="E157" s="743"/>
      <c r="F157" s="743"/>
      <c r="G157" s="743"/>
      <c r="H157" s="743"/>
      <c r="I157" s="743"/>
      <c r="J157" s="744"/>
    </row>
    <row r="158" spans="1:10" ht="12.75" customHeight="1" x14ac:dyDescent="0.2">
      <c r="A158" s="742"/>
      <c r="B158" s="743"/>
      <c r="C158" s="743"/>
      <c r="D158" s="743"/>
      <c r="E158" s="743"/>
      <c r="F158" s="743"/>
      <c r="G158" s="743"/>
      <c r="H158" s="743"/>
      <c r="I158" s="743"/>
      <c r="J158" s="744"/>
    </row>
    <row r="159" spans="1:10" ht="12.75" customHeight="1" x14ac:dyDescent="0.2">
      <c r="A159" s="742"/>
      <c r="B159" s="743"/>
      <c r="C159" s="743"/>
      <c r="D159" s="743"/>
      <c r="E159" s="743"/>
      <c r="F159" s="743"/>
      <c r="G159" s="743"/>
      <c r="H159" s="743"/>
      <c r="I159" s="743"/>
      <c r="J159" s="744"/>
    </row>
    <row r="160" spans="1:10" ht="12.75" customHeight="1" x14ac:dyDescent="0.2">
      <c r="A160" s="742"/>
      <c r="B160" s="743"/>
      <c r="C160" s="743"/>
      <c r="D160" s="743"/>
      <c r="E160" s="743"/>
      <c r="F160" s="743"/>
      <c r="G160" s="743"/>
      <c r="H160" s="743"/>
      <c r="I160" s="743"/>
      <c r="J160" s="744"/>
    </row>
    <row r="161" spans="1:10" ht="12.75" customHeight="1" x14ac:dyDescent="0.2">
      <c r="A161" s="742"/>
      <c r="B161" s="743"/>
      <c r="C161" s="743"/>
      <c r="D161" s="743"/>
      <c r="E161" s="743"/>
      <c r="F161" s="743"/>
      <c r="G161" s="743"/>
      <c r="H161" s="743"/>
      <c r="I161" s="743"/>
      <c r="J161" s="744"/>
    </row>
    <row r="162" spans="1:10" ht="12.75" customHeight="1" x14ac:dyDescent="0.2">
      <c r="A162" s="742"/>
      <c r="B162" s="743"/>
      <c r="C162" s="743"/>
      <c r="D162" s="743"/>
      <c r="E162" s="743"/>
      <c r="F162" s="743"/>
      <c r="G162" s="743"/>
      <c r="H162" s="743"/>
      <c r="I162" s="743"/>
      <c r="J162" s="744"/>
    </row>
    <row r="163" spans="1:10" ht="12.75" customHeight="1" x14ac:dyDescent="0.2">
      <c r="A163" s="742"/>
      <c r="B163" s="743"/>
      <c r="C163" s="743"/>
      <c r="D163" s="743"/>
      <c r="E163" s="743"/>
      <c r="F163" s="743"/>
      <c r="G163" s="743"/>
      <c r="H163" s="743"/>
      <c r="I163" s="743"/>
      <c r="J163" s="744"/>
    </row>
    <row r="164" spans="1:10" ht="12.75" customHeight="1" x14ac:dyDescent="0.2">
      <c r="A164" s="742"/>
      <c r="B164" s="743"/>
      <c r="C164" s="743"/>
      <c r="D164" s="743"/>
      <c r="E164" s="743"/>
      <c r="F164" s="743"/>
      <c r="G164" s="743"/>
      <c r="H164" s="743"/>
      <c r="I164" s="743"/>
      <c r="J164" s="744"/>
    </row>
    <row r="165" spans="1:10" ht="12.75" customHeight="1" x14ac:dyDescent="0.2">
      <c r="A165" s="742"/>
      <c r="B165" s="743"/>
      <c r="C165" s="743"/>
      <c r="D165" s="743"/>
      <c r="E165" s="743"/>
      <c r="F165" s="743"/>
      <c r="G165" s="743"/>
      <c r="H165" s="743"/>
      <c r="I165" s="743"/>
      <c r="J165" s="744"/>
    </row>
    <row r="166" spans="1:10" ht="12.75" customHeight="1" x14ac:dyDescent="0.2">
      <c r="A166" s="742"/>
      <c r="B166" s="743"/>
      <c r="C166" s="743"/>
      <c r="D166" s="743"/>
      <c r="E166" s="743"/>
      <c r="F166" s="743"/>
      <c r="G166" s="743"/>
      <c r="H166" s="743"/>
      <c r="I166" s="743"/>
      <c r="J166" s="744"/>
    </row>
    <row r="167" spans="1:10" ht="12.75" customHeight="1" x14ac:dyDescent="0.2">
      <c r="A167" s="742"/>
      <c r="B167" s="743"/>
      <c r="C167" s="743"/>
      <c r="D167" s="743"/>
      <c r="E167" s="743"/>
      <c r="F167" s="743"/>
      <c r="G167" s="743"/>
      <c r="H167" s="743"/>
      <c r="I167" s="743"/>
      <c r="J167" s="744"/>
    </row>
    <row r="168" spans="1:10" ht="12.75" customHeight="1" x14ac:dyDescent="0.2">
      <c r="A168" s="742"/>
      <c r="B168" s="743"/>
      <c r="C168" s="743"/>
      <c r="D168" s="743"/>
      <c r="E168" s="743"/>
      <c r="F168" s="743"/>
      <c r="G168" s="743"/>
      <c r="H168" s="743"/>
      <c r="I168" s="743"/>
      <c r="J168" s="744"/>
    </row>
    <row r="169" spans="1:10" s="61" customFormat="1" x14ac:dyDescent="0.2">
      <c r="A169" s="55"/>
      <c r="B169" s="56"/>
      <c r="C169" s="57"/>
      <c r="D169" s="58"/>
      <c r="E169" s="58"/>
      <c r="F169" s="58"/>
      <c r="G169" s="58"/>
      <c r="H169" s="59"/>
      <c r="I169" s="57"/>
      <c r="J169" s="60"/>
    </row>
    <row r="170" spans="1:10" s="61" customFormat="1" ht="25.5" customHeight="1" x14ac:dyDescent="0.2">
      <c r="A170" s="730" t="s">
        <v>124</v>
      </c>
      <c r="B170" s="731"/>
      <c r="C170" s="731"/>
      <c r="D170" s="731"/>
      <c r="E170" s="731"/>
      <c r="F170" s="731"/>
      <c r="G170" s="731"/>
      <c r="H170" s="731"/>
      <c r="I170" s="731"/>
      <c r="J170" s="732"/>
    </row>
    <row r="171" spans="1:10" s="61" customFormat="1" ht="12.75" customHeight="1" x14ac:dyDescent="0.2">
      <c r="A171" s="475" t="s">
        <v>169</v>
      </c>
      <c r="B171" s="476"/>
      <c r="C171" s="476"/>
      <c r="D171" s="476"/>
      <c r="E171" s="476"/>
      <c r="F171" s="746"/>
      <c r="G171" s="746"/>
      <c r="H171" s="746"/>
      <c r="I171" s="746"/>
      <c r="J171" s="747"/>
    </row>
    <row r="172" spans="1:10" ht="12.75" customHeight="1" x14ac:dyDescent="0.2">
      <c r="A172" s="721" t="s">
        <v>369</v>
      </c>
      <c r="B172" s="722"/>
      <c r="C172" s="722"/>
      <c r="D172" s="722"/>
      <c r="E172" s="722"/>
      <c r="F172" s="722"/>
      <c r="G172" s="722"/>
      <c r="H172" s="722"/>
      <c r="I172" s="722"/>
      <c r="J172" s="723"/>
    </row>
    <row r="173" spans="1:10" ht="12.75" customHeight="1" x14ac:dyDescent="0.2">
      <c r="A173" s="724"/>
      <c r="B173" s="725"/>
      <c r="C173" s="725"/>
      <c r="D173" s="725"/>
      <c r="E173" s="725"/>
      <c r="F173" s="725"/>
      <c r="G173" s="725"/>
      <c r="H173" s="725"/>
      <c r="I173" s="725"/>
      <c r="J173" s="726"/>
    </row>
    <row r="174" spans="1:10" ht="12.75" customHeight="1" x14ac:dyDescent="0.2">
      <c r="A174" s="724"/>
      <c r="B174" s="725"/>
      <c r="C174" s="725"/>
      <c r="D174" s="725"/>
      <c r="E174" s="725"/>
      <c r="F174" s="725"/>
      <c r="G174" s="725"/>
      <c r="H174" s="725"/>
      <c r="I174" s="725"/>
      <c r="J174" s="726"/>
    </row>
    <row r="175" spans="1:10" ht="15" customHeight="1" x14ac:dyDescent="0.2">
      <c r="A175" s="727"/>
      <c r="B175" s="728"/>
      <c r="C175" s="728"/>
      <c r="D175" s="728"/>
      <c r="E175" s="728"/>
      <c r="F175" s="728"/>
      <c r="G175" s="728"/>
      <c r="H175" s="728"/>
      <c r="I175" s="728"/>
      <c r="J175" s="729"/>
    </row>
    <row r="176" spans="1:10" ht="12.75" customHeight="1" x14ac:dyDescent="0.2">
      <c r="A176" s="742"/>
      <c r="B176" s="743"/>
      <c r="C176" s="743"/>
      <c r="D176" s="743"/>
      <c r="E176" s="743"/>
      <c r="F176" s="743"/>
      <c r="G176" s="743"/>
      <c r="H176" s="743"/>
      <c r="I176" s="743"/>
      <c r="J176" s="744"/>
    </row>
    <row r="177" spans="1:10" ht="12.75" customHeight="1" x14ac:dyDescent="0.2">
      <c r="A177" s="742"/>
      <c r="B177" s="743"/>
      <c r="C177" s="743"/>
      <c r="D177" s="743"/>
      <c r="E177" s="743"/>
      <c r="F177" s="743"/>
      <c r="G177" s="743"/>
      <c r="H177" s="743"/>
      <c r="I177" s="743"/>
      <c r="J177" s="744"/>
    </row>
    <row r="178" spans="1:10" ht="12.75" customHeight="1" x14ac:dyDescent="0.2">
      <c r="A178" s="742"/>
      <c r="B178" s="743"/>
      <c r="C178" s="743"/>
      <c r="D178" s="743"/>
      <c r="E178" s="743"/>
      <c r="F178" s="743"/>
      <c r="G178" s="743"/>
      <c r="H178" s="743"/>
      <c r="I178" s="743"/>
      <c r="J178" s="744"/>
    </row>
    <row r="179" spans="1:10" ht="12.75" customHeight="1" x14ac:dyDescent="0.2">
      <c r="A179" s="742"/>
      <c r="B179" s="743"/>
      <c r="C179" s="743"/>
      <c r="D179" s="743"/>
      <c r="E179" s="743"/>
      <c r="F179" s="743"/>
      <c r="G179" s="743"/>
      <c r="H179" s="743"/>
      <c r="I179" s="743"/>
      <c r="J179" s="744"/>
    </row>
    <row r="180" spans="1:10" ht="12.75" customHeight="1" x14ac:dyDescent="0.2">
      <c r="A180" s="742"/>
      <c r="B180" s="743"/>
      <c r="C180" s="743"/>
      <c r="D180" s="743"/>
      <c r="E180" s="743"/>
      <c r="F180" s="743"/>
      <c r="G180" s="743"/>
      <c r="H180" s="743"/>
      <c r="I180" s="743"/>
      <c r="J180" s="744"/>
    </row>
    <row r="181" spans="1:10" ht="12.75" customHeight="1" x14ac:dyDescent="0.2">
      <c r="A181" s="742"/>
      <c r="B181" s="743"/>
      <c r="C181" s="743"/>
      <c r="D181" s="743"/>
      <c r="E181" s="743"/>
      <c r="F181" s="743"/>
      <c r="G181" s="743"/>
      <c r="H181" s="743"/>
      <c r="I181" s="743"/>
      <c r="J181" s="744"/>
    </row>
    <row r="182" spans="1:10" ht="12.75" customHeight="1" x14ac:dyDescent="0.2">
      <c r="A182" s="742"/>
      <c r="B182" s="743"/>
      <c r="C182" s="743"/>
      <c r="D182" s="743"/>
      <c r="E182" s="743"/>
      <c r="F182" s="743"/>
      <c r="G182" s="743"/>
      <c r="H182" s="743"/>
      <c r="I182" s="743"/>
      <c r="J182" s="744"/>
    </row>
    <row r="183" spans="1:10" ht="12.75" customHeight="1" x14ac:dyDescent="0.2">
      <c r="A183" s="742"/>
      <c r="B183" s="743"/>
      <c r="C183" s="743"/>
      <c r="D183" s="743"/>
      <c r="E183" s="743"/>
      <c r="F183" s="743"/>
      <c r="G183" s="743"/>
      <c r="H183" s="743"/>
      <c r="I183" s="743"/>
      <c r="J183" s="744"/>
    </row>
    <row r="184" spans="1:10" ht="12.75" customHeight="1" x14ac:dyDescent="0.2">
      <c r="A184" s="742"/>
      <c r="B184" s="743"/>
      <c r="C184" s="743"/>
      <c r="D184" s="743"/>
      <c r="E184" s="743"/>
      <c r="F184" s="743"/>
      <c r="G184" s="743"/>
      <c r="H184" s="743"/>
      <c r="I184" s="743"/>
      <c r="J184" s="744"/>
    </row>
    <row r="185" spans="1:10" ht="12.75" customHeight="1" x14ac:dyDescent="0.2">
      <c r="A185" s="742"/>
      <c r="B185" s="743"/>
      <c r="C185" s="743"/>
      <c r="D185" s="743"/>
      <c r="E185" s="743"/>
      <c r="F185" s="743"/>
      <c r="G185" s="743"/>
      <c r="H185" s="743"/>
      <c r="I185" s="743"/>
      <c r="J185" s="744"/>
    </row>
    <row r="186" spans="1:10" ht="12.75" customHeight="1" x14ac:dyDescent="0.2">
      <c r="A186" s="742"/>
      <c r="B186" s="743"/>
      <c r="C186" s="743"/>
      <c r="D186" s="743"/>
      <c r="E186" s="743"/>
      <c r="F186" s="743"/>
      <c r="G186" s="743"/>
      <c r="H186" s="743"/>
      <c r="I186" s="743"/>
      <c r="J186" s="744"/>
    </row>
    <row r="187" spans="1:10" ht="12.75" customHeight="1" x14ac:dyDescent="0.2">
      <c r="A187" s="742"/>
      <c r="B187" s="743"/>
      <c r="C187" s="743"/>
      <c r="D187" s="743"/>
      <c r="E187" s="743"/>
      <c r="F187" s="743"/>
      <c r="G187" s="743"/>
      <c r="H187" s="743"/>
      <c r="I187" s="743"/>
      <c r="J187" s="744"/>
    </row>
    <row r="188" spans="1:10" ht="12.75" customHeight="1" x14ac:dyDescent="0.2">
      <c r="A188" s="742"/>
      <c r="B188" s="743"/>
      <c r="C188" s="743"/>
      <c r="D188" s="743"/>
      <c r="E188" s="743"/>
      <c r="F188" s="743"/>
      <c r="G188" s="743"/>
      <c r="H188" s="743"/>
      <c r="I188" s="743"/>
      <c r="J188" s="744"/>
    </row>
    <row r="189" spans="1:10" ht="12.75" customHeight="1" x14ac:dyDescent="0.2">
      <c r="A189" s="742"/>
      <c r="B189" s="743"/>
      <c r="C189" s="743"/>
      <c r="D189" s="743"/>
      <c r="E189" s="743"/>
      <c r="F189" s="743"/>
      <c r="G189" s="743"/>
      <c r="H189" s="743"/>
      <c r="I189" s="743"/>
      <c r="J189" s="744"/>
    </row>
    <row r="190" spans="1:10" ht="12.75" customHeight="1" x14ac:dyDescent="0.2">
      <c r="A190" s="742"/>
      <c r="B190" s="743"/>
      <c r="C190" s="743"/>
      <c r="D190" s="743"/>
      <c r="E190" s="743"/>
      <c r="F190" s="743"/>
      <c r="G190" s="743"/>
      <c r="H190" s="743"/>
      <c r="I190" s="743"/>
      <c r="J190" s="744"/>
    </row>
    <row r="191" spans="1:10" ht="12.75" customHeight="1" x14ac:dyDescent="0.2">
      <c r="A191" s="742"/>
      <c r="B191" s="743"/>
      <c r="C191" s="743"/>
      <c r="D191" s="743"/>
      <c r="E191" s="743"/>
      <c r="F191" s="743"/>
      <c r="G191" s="743"/>
      <c r="H191" s="743"/>
      <c r="I191" s="743"/>
      <c r="J191" s="744"/>
    </row>
    <row r="192" spans="1:10" ht="12.75" customHeight="1" x14ac:dyDescent="0.2">
      <c r="A192" s="742"/>
      <c r="B192" s="743"/>
      <c r="C192" s="743"/>
      <c r="D192" s="743"/>
      <c r="E192" s="743"/>
      <c r="F192" s="743"/>
      <c r="G192" s="743"/>
      <c r="H192" s="743"/>
      <c r="I192" s="743"/>
      <c r="J192" s="744"/>
    </row>
    <row r="193" spans="1:10" ht="12.75" customHeight="1" x14ac:dyDescent="0.2">
      <c r="A193" s="742"/>
      <c r="B193" s="743"/>
      <c r="C193" s="743"/>
      <c r="D193" s="743"/>
      <c r="E193" s="743"/>
      <c r="F193" s="743"/>
      <c r="G193" s="743"/>
      <c r="H193" s="743"/>
      <c r="I193" s="743"/>
      <c r="J193" s="744"/>
    </row>
    <row r="194" spans="1:10" ht="12.75" customHeight="1" x14ac:dyDescent="0.2">
      <c r="A194" s="742"/>
      <c r="B194" s="743"/>
      <c r="C194" s="743"/>
      <c r="D194" s="743"/>
      <c r="E194" s="743"/>
      <c r="F194" s="743"/>
      <c r="G194" s="743"/>
      <c r="H194" s="743"/>
      <c r="I194" s="743"/>
      <c r="J194" s="744"/>
    </row>
    <row r="195" spans="1:10" ht="12.75" customHeight="1" x14ac:dyDescent="0.2">
      <c r="A195" s="742"/>
      <c r="B195" s="743"/>
      <c r="C195" s="743"/>
      <c r="D195" s="743"/>
      <c r="E195" s="743"/>
      <c r="F195" s="743"/>
      <c r="G195" s="743"/>
      <c r="H195" s="743"/>
      <c r="I195" s="743"/>
      <c r="J195" s="744"/>
    </row>
    <row r="196" spans="1:10" ht="12.75" customHeight="1" x14ac:dyDescent="0.2">
      <c r="A196" s="742"/>
      <c r="B196" s="743"/>
      <c r="C196" s="743"/>
      <c r="D196" s="743"/>
      <c r="E196" s="743"/>
      <c r="F196" s="743"/>
      <c r="G196" s="743"/>
      <c r="H196" s="743"/>
      <c r="I196" s="743"/>
      <c r="J196" s="744"/>
    </row>
    <row r="197" spans="1:10" ht="12.75" customHeight="1" x14ac:dyDescent="0.2">
      <c r="A197" s="742"/>
      <c r="B197" s="743"/>
      <c r="C197" s="743"/>
      <c r="D197" s="743"/>
      <c r="E197" s="743"/>
      <c r="F197" s="743"/>
      <c r="G197" s="743"/>
      <c r="H197" s="743"/>
      <c r="I197" s="743"/>
      <c r="J197" s="744"/>
    </row>
    <row r="198" spans="1:10" ht="12.75" customHeight="1" x14ac:dyDescent="0.2">
      <c r="A198" s="742"/>
      <c r="B198" s="743"/>
      <c r="C198" s="743"/>
      <c r="D198" s="743"/>
      <c r="E198" s="743"/>
      <c r="F198" s="743"/>
      <c r="G198" s="743"/>
      <c r="H198" s="743"/>
      <c r="I198" s="743"/>
      <c r="J198" s="744"/>
    </row>
    <row r="199" spans="1:10" ht="12.75" customHeight="1" x14ac:dyDescent="0.2">
      <c r="A199" s="742"/>
      <c r="B199" s="743"/>
      <c r="C199" s="743"/>
      <c r="D199" s="743"/>
      <c r="E199" s="743"/>
      <c r="F199" s="743"/>
      <c r="G199" s="743"/>
      <c r="H199" s="743"/>
      <c r="I199" s="743"/>
      <c r="J199" s="744"/>
    </row>
    <row r="200" spans="1:10" ht="12.75" customHeight="1" x14ac:dyDescent="0.2">
      <c r="A200" s="742"/>
      <c r="B200" s="743"/>
      <c r="C200" s="743"/>
      <c r="D200" s="743"/>
      <c r="E200" s="743"/>
      <c r="F200" s="743"/>
      <c r="G200" s="743"/>
      <c r="H200" s="743"/>
      <c r="I200" s="743"/>
      <c r="J200" s="744"/>
    </row>
    <row r="201" spans="1:10" ht="12.75" customHeight="1" x14ac:dyDescent="0.2">
      <c r="A201" s="742"/>
      <c r="B201" s="743"/>
      <c r="C201" s="743"/>
      <c r="D201" s="743"/>
      <c r="E201" s="743"/>
      <c r="F201" s="743"/>
      <c r="G201" s="743"/>
      <c r="H201" s="743"/>
      <c r="I201" s="743"/>
      <c r="J201" s="744"/>
    </row>
    <row r="202" spans="1:10" ht="12.75" customHeight="1" x14ac:dyDescent="0.2">
      <c r="A202" s="742"/>
      <c r="B202" s="743"/>
      <c r="C202" s="743"/>
      <c r="D202" s="743"/>
      <c r="E202" s="743"/>
      <c r="F202" s="743"/>
      <c r="G202" s="743"/>
      <c r="H202" s="743"/>
      <c r="I202" s="743"/>
      <c r="J202" s="744"/>
    </row>
    <row r="203" spans="1:10" ht="12.75" customHeight="1" x14ac:dyDescent="0.2">
      <c r="A203" s="742"/>
      <c r="B203" s="743"/>
      <c r="C203" s="743"/>
      <c r="D203" s="743"/>
      <c r="E203" s="743"/>
      <c r="F203" s="743"/>
      <c r="G203" s="743"/>
      <c r="H203" s="743"/>
      <c r="I203" s="743"/>
      <c r="J203" s="744"/>
    </row>
    <row r="204" spans="1:10" ht="12.75" customHeight="1" x14ac:dyDescent="0.2">
      <c r="A204" s="742"/>
      <c r="B204" s="743"/>
      <c r="C204" s="743"/>
      <c r="D204" s="743"/>
      <c r="E204" s="743"/>
      <c r="F204" s="743"/>
      <c r="G204" s="743"/>
      <c r="H204" s="743"/>
      <c r="I204" s="743"/>
      <c r="J204" s="744"/>
    </row>
    <row r="205" spans="1:10" ht="12.75" customHeight="1" x14ac:dyDescent="0.2">
      <c r="A205" s="742"/>
      <c r="B205" s="743"/>
      <c r="C205" s="743"/>
      <c r="D205" s="743"/>
      <c r="E205" s="743"/>
      <c r="F205" s="743"/>
      <c r="G205" s="743"/>
      <c r="H205" s="743"/>
      <c r="I205" s="743"/>
      <c r="J205" s="744"/>
    </row>
    <row r="206" spans="1:10" ht="12.75" customHeight="1" x14ac:dyDescent="0.2">
      <c r="A206" s="742"/>
      <c r="B206" s="743"/>
      <c r="C206" s="743"/>
      <c r="D206" s="743"/>
      <c r="E206" s="743"/>
      <c r="F206" s="743"/>
      <c r="G206" s="743"/>
      <c r="H206" s="743"/>
      <c r="I206" s="743"/>
      <c r="J206" s="744"/>
    </row>
    <row r="207" spans="1:10" ht="12.75" customHeight="1" x14ac:dyDescent="0.2">
      <c r="A207" s="742"/>
      <c r="B207" s="743"/>
      <c r="C207" s="743"/>
      <c r="D207" s="743"/>
      <c r="E207" s="743"/>
      <c r="F207" s="743"/>
      <c r="G207" s="743"/>
      <c r="H207" s="743"/>
      <c r="I207" s="743"/>
      <c r="J207" s="744"/>
    </row>
    <row r="208" spans="1:10" ht="12.75" customHeight="1" x14ac:dyDescent="0.2">
      <c r="A208" s="742"/>
      <c r="B208" s="743"/>
      <c r="C208" s="743"/>
      <c r="D208" s="743"/>
      <c r="E208" s="743"/>
      <c r="F208" s="743"/>
      <c r="G208" s="743"/>
      <c r="H208" s="743"/>
      <c r="I208" s="743"/>
      <c r="J208" s="744"/>
    </row>
    <row r="209" spans="1:10" ht="12.75" customHeight="1" x14ac:dyDescent="0.2">
      <c r="A209" s="742"/>
      <c r="B209" s="743"/>
      <c r="C209" s="743"/>
      <c r="D209" s="743"/>
      <c r="E209" s="743"/>
      <c r="F209" s="743"/>
      <c r="G209" s="743"/>
      <c r="H209" s="743"/>
      <c r="I209" s="743"/>
      <c r="J209" s="744"/>
    </row>
    <row r="210" spans="1:10" ht="12.75" customHeight="1" x14ac:dyDescent="0.2">
      <c r="A210" s="742"/>
      <c r="B210" s="743"/>
      <c r="C210" s="743"/>
      <c r="D210" s="743"/>
      <c r="E210" s="743"/>
      <c r="F210" s="743"/>
      <c r="G210" s="743"/>
      <c r="H210" s="743"/>
      <c r="I210" s="743"/>
      <c r="J210" s="744"/>
    </row>
    <row r="211" spans="1:10" s="61" customFormat="1" x14ac:dyDescent="0.2">
      <c r="A211" s="55"/>
      <c r="B211" s="56"/>
      <c r="C211" s="57"/>
      <c r="D211" s="58"/>
      <c r="E211" s="58"/>
      <c r="F211" s="58"/>
      <c r="G211" s="58"/>
      <c r="H211" s="59"/>
      <c r="I211" s="57"/>
      <c r="J211" s="60"/>
    </row>
    <row r="212" spans="1:10" s="61" customFormat="1" ht="25.5" customHeight="1" x14ac:dyDescent="0.2">
      <c r="A212" s="730" t="s">
        <v>174</v>
      </c>
      <c r="B212" s="731"/>
      <c r="C212" s="731"/>
      <c r="D212" s="731"/>
      <c r="E212" s="731"/>
      <c r="F212" s="731"/>
      <c r="G212" s="731"/>
      <c r="H212" s="731"/>
      <c r="I212" s="731"/>
      <c r="J212" s="732"/>
    </row>
    <row r="213" spans="1:10" s="61" customFormat="1" ht="12.75" customHeight="1" x14ac:dyDescent="0.2">
      <c r="A213" s="475" t="s">
        <v>169</v>
      </c>
      <c r="B213" s="476"/>
      <c r="C213" s="476"/>
      <c r="D213" s="476"/>
      <c r="E213" s="476"/>
      <c r="F213" s="746"/>
      <c r="G213" s="746"/>
      <c r="H213" s="746"/>
      <c r="I213" s="746"/>
      <c r="J213" s="747"/>
    </row>
    <row r="214" spans="1:10" ht="12.75" customHeight="1" x14ac:dyDescent="0.2">
      <c r="A214" s="721" t="s">
        <v>369</v>
      </c>
      <c r="B214" s="722"/>
      <c r="C214" s="722"/>
      <c r="D214" s="722"/>
      <c r="E214" s="722"/>
      <c r="F214" s="722"/>
      <c r="G214" s="722"/>
      <c r="H214" s="722"/>
      <c r="I214" s="722"/>
      <c r="J214" s="723"/>
    </row>
    <row r="215" spans="1:10" ht="12.75" customHeight="1" x14ac:dyDescent="0.2">
      <c r="A215" s="724"/>
      <c r="B215" s="725"/>
      <c r="C215" s="725"/>
      <c r="D215" s="725"/>
      <c r="E215" s="725"/>
      <c r="F215" s="725"/>
      <c r="G215" s="725"/>
      <c r="H215" s="725"/>
      <c r="I215" s="725"/>
      <c r="J215" s="726"/>
    </row>
    <row r="216" spans="1:10" ht="12.75" customHeight="1" x14ac:dyDescent="0.2">
      <c r="A216" s="724"/>
      <c r="B216" s="725"/>
      <c r="C216" s="725"/>
      <c r="D216" s="725"/>
      <c r="E216" s="725"/>
      <c r="F216" s="725"/>
      <c r="G216" s="725"/>
      <c r="H216" s="725"/>
      <c r="I216" s="725"/>
      <c r="J216" s="726"/>
    </row>
    <row r="217" spans="1:10" ht="15" customHeight="1" x14ac:dyDescent="0.2">
      <c r="A217" s="727"/>
      <c r="B217" s="728"/>
      <c r="C217" s="728"/>
      <c r="D217" s="728"/>
      <c r="E217" s="728"/>
      <c r="F217" s="728"/>
      <c r="G217" s="728"/>
      <c r="H217" s="728"/>
      <c r="I217" s="728"/>
      <c r="J217" s="729"/>
    </row>
    <row r="218" spans="1:10" ht="12.75" customHeight="1" x14ac:dyDescent="0.2">
      <c r="A218" s="742"/>
      <c r="B218" s="743"/>
      <c r="C218" s="743"/>
      <c r="D218" s="743"/>
      <c r="E218" s="743"/>
      <c r="F218" s="743"/>
      <c r="G218" s="743"/>
      <c r="H218" s="743"/>
      <c r="I218" s="743"/>
      <c r="J218" s="744"/>
    </row>
    <row r="219" spans="1:10" ht="12.75" customHeight="1" x14ac:dyDescent="0.2">
      <c r="A219" s="742"/>
      <c r="B219" s="743"/>
      <c r="C219" s="743"/>
      <c r="D219" s="743"/>
      <c r="E219" s="743"/>
      <c r="F219" s="743"/>
      <c r="G219" s="743"/>
      <c r="H219" s="743"/>
      <c r="I219" s="743"/>
      <c r="J219" s="744"/>
    </row>
    <row r="220" spans="1:10" ht="12.75" customHeight="1" x14ac:dyDescent="0.2">
      <c r="A220" s="742"/>
      <c r="B220" s="743"/>
      <c r="C220" s="743"/>
      <c r="D220" s="743"/>
      <c r="E220" s="743"/>
      <c r="F220" s="743"/>
      <c r="G220" s="743"/>
      <c r="H220" s="743"/>
      <c r="I220" s="743"/>
      <c r="J220" s="744"/>
    </row>
    <row r="221" spans="1:10" ht="12.75" customHeight="1" x14ac:dyDescent="0.2">
      <c r="A221" s="742"/>
      <c r="B221" s="743"/>
      <c r="C221" s="743"/>
      <c r="D221" s="743"/>
      <c r="E221" s="743"/>
      <c r="F221" s="743"/>
      <c r="G221" s="743"/>
      <c r="H221" s="743"/>
      <c r="I221" s="743"/>
      <c r="J221" s="744"/>
    </row>
    <row r="222" spans="1:10" ht="12.75" customHeight="1" x14ac:dyDescent="0.2">
      <c r="A222" s="742"/>
      <c r="B222" s="743"/>
      <c r="C222" s="743"/>
      <c r="D222" s="743"/>
      <c r="E222" s="743"/>
      <c r="F222" s="743"/>
      <c r="G222" s="743"/>
      <c r="H222" s="743"/>
      <c r="I222" s="743"/>
      <c r="J222" s="744"/>
    </row>
    <row r="223" spans="1:10" ht="12.75" customHeight="1" x14ac:dyDescent="0.2">
      <c r="A223" s="742"/>
      <c r="B223" s="743"/>
      <c r="C223" s="743"/>
      <c r="D223" s="743"/>
      <c r="E223" s="743"/>
      <c r="F223" s="743"/>
      <c r="G223" s="743"/>
      <c r="H223" s="743"/>
      <c r="I223" s="743"/>
      <c r="J223" s="744"/>
    </row>
    <row r="224" spans="1:10" ht="12.75" customHeight="1" x14ac:dyDescent="0.2">
      <c r="A224" s="742"/>
      <c r="B224" s="743"/>
      <c r="C224" s="743"/>
      <c r="D224" s="743"/>
      <c r="E224" s="743"/>
      <c r="F224" s="743"/>
      <c r="G224" s="743"/>
      <c r="H224" s="743"/>
      <c r="I224" s="743"/>
      <c r="J224" s="744"/>
    </row>
    <row r="225" spans="1:10" ht="12.75" customHeight="1" x14ac:dyDescent="0.2">
      <c r="A225" s="742"/>
      <c r="B225" s="743"/>
      <c r="C225" s="743"/>
      <c r="D225" s="743"/>
      <c r="E225" s="743"/>
      <c r="F225" s="743"/>
      <c r="G225" s="743"/>
      <c r="H225" s="743"/>
      <c r="I225" s="743"/>
      <c r="J225" s="744"/>
    </row>
    <row r="226" spans="1:10" ht="12.75" customHeight="1" x14ac:dyDescent="0.2">
      <c r="A226" s="742"/>
      <c r="B226" s="743"/>
      <c r="C226" s="743"/>
      <c r="D226" s="743"/>
      <c r="E226" s="743"/>
      <c r="F226" s="743"/>
      <c r="G226" s="743"/>
      <c r="H226" s="743"/>
      <c r="I226" s="743"/>
      <c r="J226" s="744"/>
    </row>
    <row r="227" spans="1:10" ht="12.75" customHeight="1" x14ac:dyDescent="0.2">
      <c r="A227" s="742"/>
      <c r="B227" s="743"/>
      <c r="C227" s="743"/>
      <c r="D227" s="743"/>
      <c r="E227" s="743"/>
      <c r="F227" s="743"/>
      <c r="G227" s="743"/>
      <c r="H227" s="743"/>
      <c r="I227" s="743"/>
      <c r="J227" s="744"/>
    </row>
    <row r="228" spans="1:10" ht="12.75" customHeight="1" x14ac:dyDescent="0.2">
      <c r="A228" s="742"/>
      <c r="B228" s="743"/>
      <c r="C228" s="743"/>
      <c r="D228" s="743"/>
      <c r="E228" s="743"/>
      <c r="F228" s="743"/>
      <c r="G228" s="743"/>
      <c r="H228" s="743"/>
      <c r="I228" s="743"/>
      <c r="J228" s="744"/>
    </row>
    <row r="229" spans="1:10" ht="12.75" customHeight="1" x14ac:dyDescent="0.2">
      <c r="A229" s="742"/>
      <c r="B229" s="743"/>
      <c r="C229" s="743"/>
      <c r="D229" s="743"/>
      <c r="E229" s="743"/>
      <c r="F229" s="743"/>
      <c r="G229" s="743"/>
      <c r="H229" s="743"/>
      <c r="I229" s="743"/>
      <c r="J229" s="744"/>
    </row>
    <row r="230" spans="1:10" ht="12.75" customHeight="1" x14ac:dyDescent="0.2">
      <c r="A230" s="742"/>
      <c r="B230" s="743"/>
      <c r="C230" s="743"/>
      <c r="D230" s="743"/>
      <c r="E230" s="743"/>
      <c r="F230" s="743"/>
      <c r="G230" s="743"/>
      <c r="H230" s="743"/>
      <c r="I230" s="743"/>
      <c r="J230" s="744"/>
    </row>
    <row r="231" spans="1:10" ht="12.75" customHeight="1" x14ac:dyDescent="0.2">
      <c r="A231" s="742"/>
      <c r="B231" s="743"/>
      <c r="C231" s="743"/>
      <c r="D231" s="743"/>
      <c r="E231" s="743"/>
      <c r="F231" s="743"/>
      <c r="G231" s="743"/>
      <c r="H231" s="743"/>
      <c r="I231" s="743"/>
      <c r="J231" s="744"/>
    </row>
    <row r="232" spans="1:10" ht="12.75" customHeight="1" x14ac:dyDescent="0.2">
      <c r="A232" s="742"/>
      <c r="B232" s="743"/>
      <c r="C232" s="743"/>
      <c r="D232" s="743"/>
      <c r="E232" s="743"/>
      <c r="F232" s="743"/>
      <c r="G232" s="743"/>
      <c r="H232" s="743"/>
      <c r="I232" s="743"/>
      <c r="J232" s="744"/>
    </row>
    <row r="233" spans="1:10" ht="12.75" customHeight="1" x14ac:dyDescent="0.2">
      <c r="A233" s="742"/>
      <c r="B233" s="743"/>
      <c r="C233" s="743"/>
      <c r="D233" s="743"/>
      <c r="E233" s="743"/>
      <c r="F233" s="743"/>
      <c r="G233" s="743"/>
      <c r="H233" s="743"/>
      <c r="I233" s="743"/>
      <c r="J233" s="744"/>
    </row>
    <row r="234" spans="1:10" ht="12.75" customHeight="1" x14ac:dyDescent="0.2">
      <c r="A234" s="742"/>
      <c r="B234" s="743"/>
      <c r="C234" s="743"/>
      <c r="D234" s="743"/>
      <c r="E234" s="743"/>
      <c r="F234" s="743"/>
      <c r="G234" s="743"/>
      <c r="H234" s="743"/>
      <c r="I234" s="743"/>
      <c r="J234" s="744"/>
    </row>
    <row r="235" spans="1:10" ht="12.75" customHeight="1" x14ac:dyDescent="0.2">
      <c r="A235" s="742"/>
      <c r="B235" s="743"/>
      <c r="C235" s="743"/>
      <c r="D235" s="743"/>
      <c r="E235" s="743"/>
      <c r="F235" s="743"/>
      <c r="G235" s="743"/>
      <c r="H235" s="743"/>
      <c r="I235" s="743"/>
      <c r="J235" s="744"/>
    </row>
    <row r="236" spans="1:10" ht="12.75" customHeight="1" x14ac:dyDescent="0.2">
      <c r="A236" s="742"/>
      <c r="B236" s="743"/>
      <c r="C236" s="743"/>
      <c r="D236" s="743"/>
      <c r="E236" s="743"/>
      <c r="F236" s="743"/>
      <c r="G236" s="743"/>
      <c r="H236" s="743"/>
      <c r="I236" s="743"/>
      <c r="J236" s="744"/>
    </row>
    <row r="237" spans="1:10" ht="12.75" customHeight="1" x14ac:dyDescent="0.2">
      <c r="A237" s="742"/>
      <c r="B237" s="743"/>
      <c r="C237" s="743"/>
      <c r="D237" s="743"/>
      <c r="E237" s="743"/>
      <c r="F237" s="743"/>
      <c r="G237" s="743"/>
      <c r="H237" s="743"/>
      <c r="I237" s="743"/>
      <c r="J237" s="744"/>
    </row>
    <row r="238" spans="1:10" ht="12.75" customHeight="1" x14ac:dyDescent="0.2">
      <c r="A238" s="742"/>
      <c r="B238" s="743"/>
      <c r="C238" s="743"/>
      <c r="D238" s="743"/>
      <c r="E238" s="743"/>
      <c r="F238" s="743"/>
      <c r="G238" s="743"/>
      <c r="H238" s="743"/>
      <c r="I238" s="743"/>
      <c r="J238" s="744"/>
    </row>
    <row r="239" spans="1:10" ht="12.75" customHeight="1" x14ac:dyDescent="0.2">
      <c r="A239" s="742"/>
      <c r="B239" s="743"/>
      <c r="C239" s="743"/>
      <c r="D239" s="743"/>
      <c r="E239" s="743"/>
      <c r="F239" s="743"/>
      <c r="G239" s="743"/>
      <c r="H239" s="743"/>
      <c r="I239" s="743"/>
      <c r="J239" s="744"/>
    </row>
    <row r="240" spans="1:10" ht="12.75" customHeight="1" x14ac:dyDescent="0.2">
      <c r="A240" s="742"/>
      <c r="B240" s="743"/>
      <c r="C240" s="743"/>
      <c r="D240" s="743"/>
      <c r="E240" s="743"/>
      <c r="F240" s="743"/>
      <c r="G240" s="743"/>
      <c r="H240" s="743"/>
      <c r="I240" s="743"/>
      <c r="J240" s="744"/>
    </row>
    <row r="241" spans="1:10" ht="12.75" customHeight="1" x14ac:dyDescent="0.2">
      <c r="A241" s="742"/>
      <c r="B241" s="743"/>
      <c r="C241" s="743"/>
      <c r="D241" s="743"/>
      <c r="E241" s="743"/>
      <c r="F241" s="743"/>
      <c r="G241" s="743"/>
      <c r="H241" s="743"/>
      <c r="I241" s="743"/>
      <c r="J241" s="744"/>
    </row>
    <row r="242" spans="1:10" ht="12.75" customHeight="1" x14ac:dyDescent="0.2">
      <c r="A242" s="742"/>
      <c r="B242" s="743"/>
      <c r="C242" s="743"/>
      <c r="D242" s="743"/>
      <c r="E242" s="743"/>
      <c r="F242" s="743"/>
      <c r="G242" s="743"/>
      <c r="H242" s="743"/>
      <c r="I242" s="743"/>
      <c r="J242" s="744"/>
    </row>
    <row r="243" spans="1:10" ht="12.75" customHeight="1" x14ac:dyDescent="0.2">
      <c r="A243" s="742"/>
      <c r="B243" s="743"/>
      <c r="C243" s="743"/>
      <c r="D243" s="743"/>
      <c r="E243" s="743"/>
      <c r="F243" s="743"/>
      <c r="G243" s="743"/>
      <c r="H243" s="743"/>
      <c r="I243" s="743"/>
      <c r="J243" s="744"/>
    </row>
    <row r="244" spans="1:10" ht="12.75" customHeight="1" x14ac:dyDescent="0.2">
      <c r="A244" s="742"/>
      <c r="B244" s="743"/>
      <c r="C244" s="743"/>
      <c r="D244" s="743"/>
      <c r="E244" s="743"/>
      <c r="F244" s="743"/>
      <c r="G244" s="743"/>
      <c r="H244" s="743"/>
      <c r="I244" s="743"/>
      <c r="J244" s="744"/>
    </row>
    <row r="245" spans="1:10" ht="12.75" customHeight="1" x14ac:dyDescent="0.2">
      <c r="A245" s="742"/>
      <c r="B245" s="743"/>
      <c r="C245" s="743"/>
      <c r="D245" s="743"/>
      <c r="E245" s="743"/>
      <c r="F245" s="743"/>
      <c r="G245" s="743"/>
      <c r="H245" s="743"/>
      <c r="I245" s="743"/>
      <c r="J245" s="744"/>
    </row>
    <row r="246" spans="1:10" ht="12.75" customHeight="1" x14ac:dyDescent="0.2">
      <c r="A246" s="742"/>
      <c r="B246" s="743"/>
      <c r="C246" s="743"/>
      <c r="D246" s="743"/>
      <c r="E246" s="743"/>
      <c r="F246" s="743"/>
      <c r="G246" s="743"/>
      <c r="H246" s="743"/>
      <c r="I246" s="743"/>
      <c r="J246" s="744"/>
    </row>
    <row r="247" spans="1:10" ht="12.75" customHeight="1" x14ac:dyDescent="0.2">
      <c r="A247" s="742"/>
      <c r="B247" s="743"/>
      <c r="C247" s="743"/>
      <c r="D247" s="743"/>
      <c r="E247" s="743"/>
      <c r="F247" s="743"/>
      <c r="G247" s="743"/>
      <c r="H247" s="743"/>
      <c r="I247" s="743"/>
      <c r="J247" s="744"/>
    </row>
    <row r="248" spans="1:10" ht="12.75" customHeight="1" x14ac:dyDescent="0.2">
      <c r="A248" s="742"/>
      <c r="B248" s="743"/>
      <c r="C248" s="743"/>
      <c r="D248" s="743"/>
      <c r="E248" s="743"/>
      <c r="F248" s="743"/>
      <c r="G248" s="743"/>
      <c r="H248" s="743"/>
      <c r="I248" s="743"/>
      <c r="J248" s="744"/>
    </row>
    <row r="249" spans="1:10" ht="12.75" customHeight="1" x14ac:dyDescent="0.2">
      <c r="A249" s="742"/>
      <c r="B249" s="743"/>
      <c r="C249" s="743"/>
      <c r="D249" s="743"/>
      <c r="E249" s="743"/>
      <c r="F249" s="743"/>
      <c r="G249" s="743"/>
      <c r="H249" s="743"/>
      <c r="I249" s="743"/>
      <c r="J249" s="744"/>
    </row>
    <row r="250" spans="1:10" ht="12.75" customHeight="1" x14ac:dyDescent="0.2">
      <c r="A250" s="742"/>
      <c r="B250" s="743"/>
      <c r="C250" s="743"/>
      <c r="D250" s="743"/>
      <c r="E250" s="743"/>
      <c r="F250" s="743"/>
      <c r="G250" s="743"/>
      <c r="H250" s="743"/>
      <c r="I250" s="743"/>
      <c r="J250" s="744"/>
    </row>
    <row r="251" spans="1:10" ht="12.75" customHeight="1" x14ac:dyDescent="0.2">
      <c r="A251" s="742"/>
      <c r="B251" s="743"/>
      <c r="C251" s="743"/>
      <c r="D251" s="743"/>
      <c r="E251" s="743"/>
      <c r="F251" s="743"/>
      <c r="G251" s="743"/>
      <c r="H251" s="743"/>
      <c r="I251" s="743"/>
      <c r="J251" s="744"/>
    </row>
    <row r="252" spans="1:10" ht="12.75" customHeight="1" x14ac:dyDescent="0.2">
      <c r="A252" s="742"/>
      <c r="B252" s="743"/>
      <c r="C252" s="743"/>
      <c r="D252" s="743"/>
      <c r="E252" s="743"/>
      <c r="F252" s="743"/>
      <c r="G252" s="743"/>
      <c r="H252" s="743"/>
      <c r="I252" s="743"/>
      <c r="J252" s="744"/>
    </row>
    <row r="253" spans="1:10" s="61" customFormat="1" x14ac:dyDescent="0.2">
      <c r="A253" s="55"/>
      <c r="B253" s="56"/>
      <c r="C253" s="57"/>
      <c r="D253" s="58"/>
      <c r="E253" s="58"/>
      <c r="F253" s="58"/>
      <c r="G253" s="58"/>
      <c r="H253" s="59"/>
      <c r="I253" s="57"/>
      <c r="J253" s="60"/>
    </row>
    <row r="254" spans="1:10" s="61" customFormat="1" ht="25.5" customHeight="1" x14ac:dyDescent="0.2">
      <c r="A254" s="730" t="s">
        <v>175</v>
      </c>
      <c r="B254" s="731"/>
      <c r="C254" s="731"/>
      <c r="D254" s="731"/>
      <c r="E254" s="731"/>
      <c r="F254" s="731"/>
      <c r="G254" s="731"/>
      <c r="H254" s="731"/>
      <c r="I254" s="731"/>
      <c r="J254" s="732"/>
    </row>
    <row r="255" spans="1:10" s="61" customFormat="1" ht="12.75" customHeight="1" x14ac:dyDescent="0.2">
      <c r="A255" s="475" t="s">
        <v>169</v>
      </c>
      <c r="B255" s="476"/>
      <c r="C255" s="476"/>
      <c r="D255" s="476"/>
      <c r="E255" s="476"/>
      <c r="F255" s="746"/>
      <c r="G255" s="746"/>
      <c r="H255" s="746"/>
      <c r="I255" s="746"/>
      <c r="J255" s="747"/>
    </row>
    <row r="256" spans="1:10" ht="12.75" customHeight="1" x14ac:dyDescent="0.2">
      <c r="A256" s="721" t="s">
        <v>369</v>
      </c>
      <c r="B256" s="722"/>
      <c r="C256" s="722"/>
      <c r="D256" s="722"/>
      <c r="E256" s="722"/>
      <c r="F256" s="722"/>
      <c r="G256" s="722"/>
      <c r="H256" s="722"/>
      <c r="I256" s="722"/>
      <c r="J256" s="723"/>
    </row>
    <row r="257" spans="1:10" ht="12.75" customHeight="1" x14ac:dyDescent="0.2">
      <c r="A257" s="724"/>
      <c r="B257" s="725"/>
      <c r="C257" s="725"/>
      <c r="D257" s="725"/>
      <c r="E257" s="725"/>
      <c r="F257" s="725"/>
      <c r="G257" s="725"/>
      <c r="H257" s="725"/>
      <c r="I257" s="725"/>
      <c r="J257" s="726"/>
    </row>
    <row r="258" spans="1:10" ht="12.75" customHeight="1" x14ac:dyDescent="0.2">
      <c r="A258" s="724"/>
      <c r="B258" s="725"/>
      <c r="C258" s="725"/>
      <c r="D258" s="725"/>
      <c r="E258" s="725"/>
      <c r="F258" s="725"/>
      <c r="G258" s="725"/>
      <c r="H258" s="725"/>
      <c r="I258" s="725"/>
      <c r="J258" s="726"/>
    </row>
    <row r="259" spans="1:10" ht="15" customHeight="1" x14ac:dyDescent="0.2">
      <c r="A259" s="727"/>
      <c r="B259" s="728"/>
      <c r="C259" s="728"/>
      <c r="D259" s="728"/>
      <c r="E259" s="728"/>
      <c r="F259" s="728"/>
      <c r="G259" s="728"/>
      <c r="H259" s="728"/>
      <c r="I259" s="728"/>
      <c r="J259" s="729"/>
    </row>
    <row r="260" spans="1:10" ht="12.75" customHeight="1" x14ac:dyDescent="0.2">
      <c r="A260" s="742"/>
      <c r="B260" s="743"/>
      <c r="C260" s="743"/>
      <c r="D260" s="743"/>
      <c r="E260" s="743"/>
      <c r="F260" s="743"/>
      <c r="G260" s="743"/>
      <c r="H260" s="743"/>
      <c r="I260" s="743"/>
      <c r="J260" s="744"/>
    </row>
    <row r="261" spans="1:10" ht="12.75" customHeight="1" x14ac:dyDescent="0.2">
      <c r="A261" s="742"/>
      <c r="B261" s="743"/>
      <c r="C261" s="743"/>
      <c r="D261" s="743"/>
      <c r="E261" s="743"/>
      <c r="F261" s="743"/>
      <c r="G261" s="743"/>
      <c r="H261" s="743"/>
      <c r="I261" s="743"/>
      <c r="J261" s="744"/>
    </row>
    <row r="262" spans="1:10" ht="12.75" customHeight="1" x14ac:dyDescent="0.2">
      <c r="A262" s="742"/>
      <c r="B262" s="743"/>
      <c r="C262" s="743"/>
      <c r="D262" s="743"/>
      <c r="E262" s="743"/>
      <c r="F262" s="743"/>
      <c r="G262" s="743"/>
      <c r="H262" s="743"/>
      <c r="I262" s="743"/>
      <c r="J262" s="744"/>
    </row>
    <row r="263" spans="1:10" ht="12.75" customHeight="1" x14ac:dyDescent="0.2">
      <c r="A263" s="742"/>
      <c r="B263" s="743"/>
      <c r="C263" s="743"/>
      <c r="D263" s="743"/>
      <c r="E263" s="743"/>
      <c r="F263" s="743"/>
      <c r="G263" s="743"/>
      <c r="H263" s="743"/>
      <c r="I263" s="743"/>
      <c r="J263" s="744"/>
    </row>
    <row r="264" spans="1:10" ht="12.75" customHeight="1" x14ac:dyDescent="0.2">
      <c r="A264" s="742"/>
      <c r="B264" s="743"/>
      <c r="C264" s="743"/>
      <c r="D264" s="743"/>
      <c r="E264" s="743"/>
      <c r="F264" s="743"/>
      <c r="G264" s="743"/>
      <c r="H264" s="743"/>
      <c r="I264" s="743"/>
      <c r="J264" s="744"/>
    </row>
    <row r="265" spans="1:10" ht="12.75" customHeight="1" x14ac:dyDescent="0.2">
      <c r="A265" s="742"/>
      <c r="B265" s="743"/>
      <c r="C265" s="743"/>
      <c r="D265" s="743"/>
      <c r="E265" s="743"/>
      <c r="F265" s="743"/>
      <c r="G265" s="743"/>
      <c r="H265" s="743"/>
      <c r="I265" s="743"/>
      <c r="J265" s="744"/>
    </row>
    <row r="266" spans="1:10" ht="12.75" customHeight="1" x14ac:dyDescent="0.2">
      <c r="A266" s="742"/>
      <c r="B266" s="743"/>
      <c r="C266" s="743"/>
      <c r="D266" s="743"/>
      <c r="E266" s="743"/>
      <c r="F266" s="743"/>
      <c r="G266" s="743"/>
      <c r="H266" s="743"/>
      <c r="I266" s="743"/>
      <c r="J266" s="744"/>
    </row>
    <row r="267" spans="1:10" ht="12.75" customHeight="1" x14ac:dyDescent="0.2">
      <c r="A267" s="742"/>
      <c r="B267" s="743"/>
      <c r="C267" s="743"/>
      <c r="D267" s="743"/>
      <c r="E267" s="743"/>
      <c r="F267" s="743"/>
      <c r="G267" s="743"/>
      <c r="H267" s="743"/>
      <c r="I267" s="743"/>
      <c r="J267" s="744"/>
    </row>
    <row r="268" spans="1:10" ht="12.75" customHeight="1" x14ac:dyDescent="0.2">
      <c r="A268" s="742"/>
      <c r="B268" s="743"/>
      <c r="C268" s="743"/>
      <c r="D268" s="743"/>
      <c r="E268" s="743"/>
      <c r="F268" s="743"/>
      <c r="G268" s="743"/>
      <c r="H268" s="743"/>
      <c r="I268" s="743"/>
      <c r="J268" s="744"/>
    </row>
    <row r="269" spans="1:10" ht="12.75" customHeight="1" x14ac:dyDescent="0.2">
      <c r="A269" s="742"/>
      <c r="B269" s="743"/>
      <c r="C269" s="743"/>
      <c r="D269" s="743"/>
      <c r="E269" s="743"/>
      <c r="F269" s="743"/>
      <c r="G269" s="743"/>
      <c r="H269" s="743"/>
      <c r="I269" s="743"/>
      <c r="J269" s="744"/>
    </row>
    <row r="270" spans="1:10" ht="12.75" customHeight="1" x14ac:dyDescent="0.2">
      <c r="A270" s="742"/>
      <c r="B270" s="743"/>
      <c r="C270" s="743"/>
      <c r="D270" s="743"/>
      <c r="E270" s="743"/>
      <c r="F270" s="743"/>
      <c r="G270" s="743"/>
      <c r="H270" s="743"/>
      <c r="I270" s="743"/>
      <c r="J270" s="744"/>
    </row>
    <row r="271" spans="1:10" ht="12.75" customHeight="1" x14ac:dyDescent="0.2">
      <c r="A271" s="742"/>
      <c r="B271" s="743"/>
      <c r="C271" s="743"/>
      <c r="D271" s="743"/>
      <c r="E271" s="743"/>
      <c r="F271" s="743"/>
      <c r="G271" s="743"/>
      <c r="H271" s="743"/>
      <c r="I271" s="743"/>
      <c r="J271" s="744"/>
    </row>
    <row r="272" spans="1:10" ht="12.75" customHeight="1" x14ac:dyDescent="0.2">
      <c r="A272" s="742"/>
      <c r="B272" s="743"/>
      <c r="C272" s="743"/>
      <c r="D272" s="743"/>
      <c r="E272" s="743"/>
      <c r="F272" s="743"/>
      <c r="G272" s="743"/>
      <c r="H272" s="743"/>
      <c r="I272" s="743"/>
      <c r="J272" s="744"/>
    </row>
    <row r="273" spans="1:10" ht="12.75" customHeight="1" x14ac:dyDescent="0.2">
      <c r="A273" s="742"/>
      <c r="B273" s="743"/>
      <c r="C273" s="743"/>
      <c r="D273" s="743"/>
      <c r="E273" s="743"/>
      <c r="F273" s="743"/>
      <c r="G273" s="743"/>
      <c r="H273" s="743"/>
      <c r="I273" s="743"/>
      <c r="J273" s="744"/>
    </row>
    <row r="274" spans="1:10" ht="12.75" customHeight="1" x14ac:dyDescent="0.2">
      <c r="A274" s="742"/>
      <c r="B274" s="743"/>
      <c r="C274" s="743"/>
      <c r="D274" s="743"/>
      <c r="E274" s="743"/>
      <c r="F274" s="743"/>
      <c r="G274" s="743"/>
      <c r="H274" s="743"/>
      <c r="I274" s="743"/>
      <c r="J274" s="744"/>
    </row>
    <row r="275" spans="1:10" ht="12.75" customHeight="1" x14ac:dyDescent="0.2">
      <c r="A275" s="742"/>
      <c r="B275" s="743"/>
      <c r="C275" s="743"/>
      <c r="D275" s="743"/>
      <c r="E275" s="743"/>
      <c r="F275" s="743"/>
      <c r="G275" s="743"/>
      <c r="H275" s="743"/>
      <c r="I275" s="743"/>
      <c r="J275" s="744"/>
    </row>
    <row r="276" spans="1:10" ht="12.75" customHeight="1" x14ac:dyDescent="0.2">
      <c r="A276" s="742"/>
      <c r="B276" s="743"/>
      <c r="C276" s="743"/>
      <c r="D276" s="743"/>
      <c r="E276" s="743"/>
      <c r="F276" s="743"/>
      <c r="G276" s="743"/>
      <c r="H276" s="743"/>
      <c r="I276" s="743"/>
      <c r="J276" s="744"/>
    </row>
    <row r="277" spans="1:10" ht="12.75" customHeight="1" x14ac:dyDescent="0.2">
      <c r="A277" s="742"/>
      <c r="B277" s="743"/>
      <c r="C277" s="743"/>
      <c r="D277" s="743"/>
      <c r="E277" s="743"/>
      <c r="F277" s="743"/>
      <c r="G277" s="743"/>
      <c r="H277" s="743"/>
      <c r="I277" s="743"/>
      <c r="J277" s="744"/>
    </row>
    <row r="278" spans="1:10" ht="12.75" customHeight="1" x14ac:dyDescent="0.2">
      <c r="A278" s="742"/>
      <c r="B278" s="743"/>
      <c r="C278" s="743"/>
      <c r="D278" s="743"/>
      <c r="E278" s="743"/>
      <c r="F278" s="743"/>
      <c r="G278" s="743"/>
      <c r="H278" s="743"/>
      <c r="I278" s="743"/>
      <c r="J278" s="744"/>
    </row>
    <row r="279" spans="1:10" ht="12.75" customHeight="1" x14ac:dyDescent="0.2">
      <c r="A279" s="742"/>
      <c r="B279" s="743"/>
      <c r="C279" s="743"/>
      <c r="D279" s="743"/>
      <c r="E279" s="743"/>
      <c r="F279" s="743"/>
      <c r="G279" s="743"/>
      <c r="H279" s="743"/>
      <c r="I279" s="743"/>
      <c r="J279" s="744"/>
    </row>
    <row r="280" spans="1:10" ht="12.75" customHeight="1" x14ac:dyDescent="0.2">
      <c r="A280" s="742"/>
      <c r="B280" s="743"/>
      <c r="C280" s="743"/>
      <c r="D280" s="743"/>
      <c r="E280" s="743"/>
      <c r="F280" s="743"/>
      <c r="G280" s="743"/>
      <c r="H280" s="743"/>
      <c r="I280" s="743"/>
      <c r="J280" s="744"/>
    </row>
    <row r="281" spans="1:10" ht="12.75" customHeight="1" x14ac:dyDescent="0.2">
      <c r="A281" s="742"/>
      <c r="B281" s="743"/>
      <c r="C281" s="743"/>
      <c r="D281" s="743"/>
      <c r="E281" s="743"/>
      <c r="F281" s="743"/>
      <c r="G281" s="743"/>
      <c r="H281" s="743"/>
      <c r="I281" s="743"/>
      <c r="J281" s="744"/>
    </row>
    <row r="282" spans="1:10" ht="12.75" customHeight="1" x14ac:dyDescent="0.2">
      <c r="A282" s="742"/>
      <c r="B282" s="743"/>
      <c r="C282" s="743"/>
      <c r="D282" s="743"/>
      <c r="E282" s="743"/>
      <c r="F282" s="743"/>
      <c r="G282" s="743"/>
      <c r="H282" s="743"/>
      <c r="I282" s="743"/>
      <c r="J282" s="744"/>
    </row>
    <row r="283" spans="1:10" ht="12.75" customHeight="1" x14ac:dyDescent="0.2">
      <c r="A283" s="742"/>
      <c r="B283" s="743"/>
      <c r="C283" s="743"/>
      <c r="D283" s="743"/>
      <c r="E283" s="743"/>
      <c r="F283" s="743"/>
      <c r="G283" s="743"/>
      <c r="H283" s="743"/>
      <c r="I283" s="743"/>
      <c r="J283" s="744"/>
    </row>
    <row r="284" spans="1:10" ht="12.75" customHeight="1" x14ac:dyDescent="0.2">
      <c r="A284" s="742"/>
      <c r="B284" s="743"/>
      <c r="C284" s="743"/>
      <c r="D284" s="743"/>
      <c r="E284" s="743"/>
      <c r="F284" s="743"/>
      <c r="G284" s="743"/>
      <c r="H284" s="743"/>
      <c r="I284" s="743"/>
      <c r="J284" s="744"/>
    </row>
    <row r="285" spans="1:10" ht="12.75" customHeight="1" x14ac:dyDescent="0.2">
      <c r="A285" s="742"/>
      <c r="B285" s="743"/>
      <c r="C285" s="743"/>
      <c r="D285" s="743"/>
      <c r="E285" s="743"/>
      <c r="F285" s="743"/>
      <c r="G285" s="743"/>
      <c r="H285" s="743"/>
      <c r="I285" s="743"/>
      <c r="J285" s="744"/>
    </row>
    <row r="286" spans="1:10" ht="12.75" customHeight="1" x14ac:dyDescent="0.2">
      <c r="A286" s="742"/>
      <c r="B286" s="743"/>
      <c r="C286" s="743"/>
      <c r="D286" s="743"/>
      <c r="E286" s="743"/>
      <c r="F286" s="743"/>
      <c r="G286" s="743"/>
      <c r="H286" s="743"/>
      <c r="I286" s="743"/>
      <c r="J286" s="744"/>
    </row>
    <row r="287" spans="1:10" ht="12.75" customHeight="1" x14ac:dyDescent="0.2">
      <c r="A287" s="742"/>
      <c r="B287" s="743"/>
      <c r="C287" s="743"/>
      <c r="D287" s="743"/>
      <c r="E287" s="743"/>
      <c r="F287" s="743"/>
      <c r="G287" s="743"/>
      <c r="H287" s="743"/>
      <c r="I287" s="743"/>
      <c r="J287" s="744"/>
    </row>
    <row r="288" spans="1:10" ht="12.75" customHeight="1" x14ac:dyDescent="0.2">
      <c r="A288" s="742"/>
      <c r="B288" s="743"/>
      <c r="C288" s="743"/>
      <c r="D288" s="743"/>
      <c r="E288" s="743"/>
      <c r="F288" s="743"/>
      <c r="G288" s="743"/>
      <c r="H288" s="743"/>
      <c r="I288" s="743"/>
      <c r="J288" s="744"/>
    </row>
    <row r="289" spans="1:10" ht="12.75" customHeight="1" x14ac:dyDescent="0.2">
      <c r="A289" s="742"/>
      <c r="B289" s="743"/>
      <c r="C289" s="743"/>
      <c r="D289" s="743"/>
      <c r="E289" s="743"/>
      <c r="F289" s="743"/>
      <c r="G289" s="743"/>
      <c r="H289" s="743"/>
      <c r="I289" s="743"/>
      <c r="J289" s="744"/>
    </row>
    <row r="290" spans="1:10" ht="12.75" customHeight="1" x14ac:dyDescent="0.2">
      <c r="A290" s="742"/>
      <c r="B290" s="743"/>
      <c r="C290" s="743"/>
      <c r="D290" s="743"/>
      <c r="E290" s="743"/>
      <c r="F290" s="743"/>
      <c r="G290" s="743"/>
      <c r="H290" s="743"/>
      <c r="I290" s="743"/>
      <c r="J290" s="744"/>
    </row>
    <row r="291" spans="1:10" ht="12.75" customHeight="1" x14ac:dyDescent="0.2">
      <c r="A291" s="742"/>
      <c r="B291" s="743"/>
      <c r="C291" s="743"/>
      <c r="D291" s="743"/>
      <c r="E291" s="743"/>
      <c r="F291" s="743"/>
      <c r="G291" s="743"/>
      <c r="H291" s="743"/>
      <c r="I291" s="743"/>
      <c r="J291" s="744"/>
    </row>
    <row r="292" spans="1:10" ht="12.75" customHeight="1" x14ac:dyDescent="0.2">
      <c r="A292" s="742"/>
      <c r="B292" s="743"/>
      <c r="C292" s="743"/>
      <c r="D292" s="743"/>
      <c r="E292" s="743"/>
      <c r="F292" s="743"/>
      <c r="G292" s="743"/>
      <c r="H292" s="743"/>
      <c r="I292" s="743"/>
      <c r="J292" s="744"/>
    </row>
    <row r="293" spans="1:10" ht="12.75" customHeight="1" x14ac:dyDescent="0.2">
      <c r="A293" s="742"/>
      <c r="B293" s="743"/>
      <c r="C293" s="743"/>
      <c r="D293" s="743"/>
      <c r="E293" s="743"/>
      <c r="F293" s="743"/>
      <c r="G293" s="743"/>
      <c r="H293" s="743"/>
      <c r="I293" s="743"/>
      <c r="J293" s="744"/>
    </row>
    <row r="294" spans="1:10" ht="12.75" customHeight="1" x14ac:dyDescent="0.2">
      <c r="A294" s="742"/>
      <c r="B294" s="743"/>
      <c r="C294" s="743"/>
      <c r="D294" s="743"/>
      <c r="E294" s="743"/>
      <c r="F294" s="743"/>
      <c r="G294" s="743"/>
      <c r="H294" s="743"/>
      <c r="I294" s="743"/>
      <c r="J294" s="744"/>
    </row>
    <row r="295" spans="1:10" s="61" customFormat="1" x14ac:dyDescent="0.2">
      <c r="A295" s="55"/>
      <c r="B295" s="56"/>
      <c r="C295" s="57"/>
      <c r="D295" s="58"/>
      <c r="E295" s="58"/>
      <c r="F295" s="58"/>
      <c r="G295" s="58"/>
      <c r="H295" s="59"/>
      <c r="I295" s="57"/>
      <c r="J295" s="60"/>
    </row>
    <row r="296" spans="1:10" s="61" customFormat="1" ht="25.5" customHeight="1" x14ac:dyDescent="0.2">
      <c r="A296" s="730" t="s">
        <v>121</v>
      </c>
      <c r="B296" s="731"/>
      <c r="C296" s="731"/>
      <c r="D296" s="731"/>
      <c r="E296" s="731"/>
      <c r="F296" s="731"/>
      <c r="G296" s="731"/>
      <c r="H296" s="731"/>
      <c r="I296" s="731"/>
      <c r="J296" s="732"/>
    </row>
    <row r="297" spans="1:10" s="61" customFormat="1" ht="12.75" customHeight="1" x14ac:dyDescent="0.2">
      <c r="A297" s="475" t="s">
        <v>169</v>
      </c>
      <c r="B297" s="476"/>
      <c r="C297" s="476"/>
      <c r="D297" s="476"/>
      <c r="E297" s="476"/>
      <c r="F297" s="746"/>
      <c r="G297" s="746"/>
      <c r="H297" s="746"/>
      <c r="I297" s="746"/>
      <c r="J297" s="747"/>
    </row>
    <row r="298" spans="1:10" ht="12.75" customHeight="1" x14ac:dyDescent="0.2">
      <c r="A298" s="721" t="s">
        <v>369</v>
      </c>
      <c r="B298" s="722"/>
      <c r="C298" s="722"/>
      <c r="D298" s="722"/>
      <c r="E298" s="722"/>
      <c r="F298" s="722"/>
      <c r="G298" s="722"/>
      <c r="H298" s="722"/>
      <c r="I298" s="722"/>
      <c r="J298" s="723"/>
    </row>
    <row r="299" spans="1:10" ht="12.75" customHeight="1" x14ac:dyDescent="0.2">
      <c r="A299" s="724"/>
      <c r="B299" s="725"/>
      <c r="C299" s="725"/>
      <c r="D299" s="725"/>
      <c r="E299" s="725"/>
      <c r="F299" s="725"/>
      <c r="G299" s="725"/>
      <c r="H299" s="725"/>
      <c r="I299" s="725"/>
      <c r="J299" s="726"/>
    </row>
    <row r="300" spans="1:10" ht="12.75" customHeight="1" x14ac:dyDescent="0.2">
      <c r="A300" s="724"/>
      <c r="B300" s="725"/>
      <c r="C300" s="725"/>
      <c r="D300" s="725"/>
      <c r="E300" s="725"/>
      <c r="F300" s="725"/>
      <c r="G300" s="725"/>
      <c r="H300" s="725"/>
      <c r="I300" s="725"/>
      <c r="J300" s="726"/>
    </row>
    <row r="301" spans="1:10" ht="15" customHeight="1" x14ac:dyDescent="0.2">
      <c r="A301" s="727"/>
      <c r="B301" s="728"/>
      <c r="C301" s="728"/>
      <c r="D301" s="728"/>
      <c r="E301" s="728"/>
      <c r="F301" s="728"/>
      <c r="G301" s="728"/>
      <c r="H301" s="728"/>
      <c r="I301" s="728"/>
      <c r="J301" s="729"/>
    </row>
    <row r="302" spans="1:10" ht="12.75" customHeight="1" x14ac:dyDescent="0.2">
      <c r="A302" s="742"/>
      <c r="B302" s="743"/>
      <c r="C302" s="743"/>
      <c r="D302" s="743"/>
      <c r="E302" s="743"/>
      <c r="F302" s="743"/>
      <c r="G302" s="743"/>
      <c r="H302" s="743"/>
      <c r="I302" s="743"/>
      <c r="J302" s="744"/>
    </row>
    <row r="303" spans="1:10" ht="12.75" customHeight="1" x14ac:dyDescent="0.2">
      <c r="A303" s="742"/>
      <c r="B303" s="743"/>
      <c r="C303" s="743"/>
      <c r="D303" s="743"/>
      <c r="E303" s="743"/>
      <c r="F303" s="743"/>
      <c r="G303" s="743"/>
      <c r="H303" s="743"/>
      <c r="I303" s="743"/>
      <c r="J303" s="744"/>
    </row>
    <row r="304" spans="1:10" ht="12.75" customHeight="1" x14ac:dyDescent="0.2">
      <c r="A304" s="742"/>
      <c r="B304" s="743"/>
      <c r="C304" s="743"/>
      <c r="D304" s="743"/>
      <c r="E304" s="743"/>
      <c r="F304" s="743"/>
      <c r="G304" s="743"/>
      <c r="H304" s="743"/>
      <c r="I304" s="743"/>
      <c r="J304" s="744"/>
    </row>
    <row r="305" spans="1:10" ht="12.75" customHeight="1" x14ac:dyDescent="0.2">
      <c r="A305" s="742"/>
      <c r="B305" s="743"/>
      <c r="C305" s="743"/>
      <c r="D305" s="743"/>
      <c r="E305" s="743"/>
      <c r="F305" s="743"/>
      <c r="G305" s="743"/>
      <c r="H305" s="743"/>
      <c r="I305" s="743"/>
      <c r="J305" s="744"/>
    </row>
    <row r="306" spans="1:10" ht="12.75" customHeight="1" x14ac:dyDescent="0.2">
      <c r="A306" s="742"/>
      <c r="B306" s="743"/>
      <c r="C306" s="743"/>
      <c r="D306" s="743"/>
      <c r="E306" s="743"/>
      <c r="F306" s="743"/>
      <c r="G306" s="743"/>
      <c r="H306" s="743"/>
      <c r="I306" s="743"/>
      <c r="J306" s="744"/>
    </row>
    <row r="307" spans="1:10" ht="12.75" customHeight="1" x14ac:dyDescent="0.2">
      <c r="A307" s="742"/>
      <c r="B307" s="743"/>
      <c r="C307" s="743"/>
      <c r="D307" s="743"/>
      <c r="E307" s="743"/>
      <c r="F307" s="743"/>
      <c r="G307" s="743"/>
      <c r="H307" s="743"/>
      <c r="I307" s="743"/>
      <c r="J307" s="744"/>
    </row>
    <row r="308" spans="1:10" ht="12.75" customHeight="1" x14ac:dyDescent="0.2">
      <c r="A308" s="742"/>
      <c r="B308" s="743"/>
      <c r="C308" s="743"/>
      <c r="D308" s="743"/>
      <c r="E308" s="743"/>
      <c r="F308" s="743"/>
      <c r="G308" s="743"/>
      <c r="H308" s="743"/>
      <c r="I308" s="743"/>
      <c r="J308" s="744"/>
    </row>
    <row r="309" spans="1:10" ht="12.75" customHeight="1" x14ac:dyDescent="0.2">
      <c r="A309" s="742"/>
      <c r="B309" s="743"/>
      <c r="C309" s="743"/>
      <c r="D309" s="743"/>
      <c r="E309" s="743"/>
      <c r="F309" s="743"/>
      <c r="G309" s="743"/>
      <c r="H309" s="743"/>
      <c r="I309" s="743"/>
      <c r="J309" s="744"/>
    </row>
    <row r="310" spans="1:10" ht="12.75" customHeight="1" x14ac:dyDescent="0.2">
      <c r="A310" s="742"/>
      <c r="B310" s="743"/>
      <c r="C310" s="743"/>
      <c r="D310" s="743"/>
      <c r="E310" s="743"/>
      <c r="F310" s="743"/>
      <c r="G310" s="743"/>
      <c r="H310" s="743"/>
      <c r="I310" s="743"/>
      <c r="J310" s="744"/>
    </row>
    <row r="311" spans="1:10" ht="12.75" customHeight="1" x14ac:dyDescent="0.2">
      <c r="A311" s="742"/>
      <c r="B311" s="743"/>
      <c r="C311" s="743"/>
      <c r="D311" s="743"/>
      <c r="E311" s="743"/>
      <c r="F311" s="743"/>
      <c r="G311" s="743"/>
      <c r="H311" s="743"/>
      <c r="I311" s="743"/>
      <c r="J311" s="744"/>
    </row>
    <row r="312" spans="1:10" ht="12.75" customHeight="1" x14ac:dyDescent="0.2">
      <c r="A312" s="742"/>
      <c r="B312" s="743"/>
      <c r="C312" s="743"/>
      <c r="D312" s="743"/>
      <c r="E312" s="743"/>
      <c r="F312" s="743"/>
      <c r="G312" s="743"/>
      <c r="H312" s="743"/>
      <c r="I312" s="743"/>
      <c r="J312" s="744"/>
    </row>
    <row r="313" spans="1:10" ht="12.75" customHeight="1" x14ac:dyDescent="0.2">
      <c r="A313" s="742"/>
      <c r="B313" s="743"/>
      <c r="C313" s="743"/>
      <c r="D313" s="743"/>
      <c r="E313" s="743"/>
      <c r="F313" s="743"/>
      <c r="G313" s="743"/>
      <c r="H313" s="743"/>
      <c r="I313" s="743"/>
      <c r="J313" s="744"/>
    </row>
    <row r="314" spans="1:10" ht="12.75" customHeight="1" x14ac:dyDescent="0.2">
      <c r="A314" s="742"/>
      <c r="B314" s="743"/>
      <c r="C314" s="743"/>
      <c r="D314" s="743"/>
      <c r="E314" s="743"/>
      <c r="F314" s="743"/>
      <c r="G314" s="743"/>
      <c r="H314" s="743"/>
      <c r="I314" s="743"/>
      <c r="J314" s="744"/>
    </row>
    <row r="315" spans="1:10" ht="12.75" customHeight="1" x14ac:dyDescent="0.2">
      <c r="A315" s="742"/>
      <c r="B315" s="743"/>
      <c r="C315" s="743"/>
      <c r="D315" s="743"/>
      <c r="E315" s="743"/>
      <c r="F315" s="743"/>
      <c r="G315" s="743"/>
      <c r="H315" s="743"/>
      <c r="I315" s="743"/>
      <c r="J315" s="744"/>
    </row>
    <row r="316" spans="1:10" ht="12.75" customHeight="1" x14ac:dyDescent="0.2">
      <c r="A316" s="742"/>
      <c r="B316" s="743"/>
      <c r="C316" s="743"/>
      <c r="D316" s="743"/>
      <c r="E316" s="743"/>
      <c r="F316" s="743"/>
      <c r="G316" s="743"/>
      <c r="H316" s="743"/>
      <c r="I316" s="743"/>
      <c r="J316" s="744"/>
    </row>
    <row r="317" spans="1:10" ht="12.75" customHeight="1" x14ac:dyDescent="0.2">
      <c r="A317" s="742"/>
      <c r="B317" s="743"/>
      <c r="C317" s="743"/>
      <c r="D317" s="743"/>
      <c r="E317" s="743"/>
      <c r="F317" s="743"/>
      <c r="G317" s="743"/>
      <c r="H317" s="743"/>
      <c r="I317" s="743"/>
      <c r="J317" s="744"/>
    </row>
    <row r="318" spans="1:10" ht="12.75" customHeight="1" x14ac:dyDescent="0.2">
      <c r="A318" s="742"/>
      <c r="B318" s="743"/>
      <c r="C318" s="743"/>
      <c r="D318" s="743"/>
      <c r="E318" s="743"/>
      <c r="F318" s="743"/>
      <c r="G318" s="743"/>
      <c r="H318" s="743"/>
      <c r="I318" s="743"/>
      <c r="J318" s="744"/>
    </row>
    <row r="319" spans="1:10" ht="12.75" customHeight="1" x14ac:dyDescent="0.2">
      <c r="A319" s="742"/>
      <c r="B319" s="743"/>
      <c r="C319" s="743"/>
      <c r="D319" s="743"/>
      <c r="E319" s="743"/>
      <c r="F319" s="743"/>
      <c r="G319" s="743"/>
      <c r="H319" s="743"/>
      <c r="I319" s="743"/>
      <c r="J319" s="744"/>
    </row>
    <row r="320" spans="1:10" ht="12.75" customHeight="1" x14ac:dyDescent="0.2">
      <c r="A320" s="742"/>
      <c r="B320" s="743"/>
      <c r="C320" s="743"/>
      <c r="D320" s="743"/>
      <c r="E320" s="743"/>
      <c r="F320" s="743"/>
      <c r="G320" s="743"/>
      <c r="H320" s="743"/>
      <c r="I320" s="743"/>
      <c r="J320" s="744"/>
    </row>
    <row r="321" spans="1:10" ht="12.75" customHeight="1" x14ac:dyDescent="0.2">
      <c r="A321" s="742"/>
      <c r="B321" s="743"/>
      <c r="C321" s="743"/>
      <c r="D321" s="743"/>
      <c r="E321" s="743"/>
      <c r="F321" s="743"/>
      <c r="G321" s="743"/>
      <c r="H321" s="743"/>
      <c r="I321" s="743"/>
      <c r="J321" s="744"/>
    </row>
    <row r="322" spans="1:10" ht="12.75" customHeight="1" x14ac:dyDescent="0.2">
      <c r="A322" s="742"/>
      <c r="B322" s="743"/>
      <c r="C322" s="743"/>
      <c r="D322" s="743"/>
      <c r="E322" s="743"/>
      <c r="F322" s="743"/>
      <c r="G322" s="743"/>
      <c r="H322" s="743"/>
      <c r="I322" s="743"/>
      <c r="J322" s="744"/>
    </row>
    <row r="323" spans="1:10" ht="12.75" customHeight="1" x14ac:dyDescent="0.2">
      <c r="A323" s="742"/>
      <c r="B323" s="743"/>
      <c r="C323" s="743"/>
      <c r="D323" s="743"/>
      <c r="E323" s="743"/>
      <c r="F323" s="743"/>
      <c r="G323" s="743"/>
      <c r="H323" s="743"/>
      <c r="I323" s="743"/>
      <c r="J323" s="744"/>
    </row>
    <row r="324" spans="1:10" ht="12.75" customHeight="1" x14ac:dyDescent="0.2">
      <c r="A324" s="742"/>
      <c r="B324" s="743"/>
      <c r="C324" s="743"/>
      <c r="D324" s="743"/>
      <c r="E324" s="743"/>
      <c r="F324" s="743"/>
      <c r="G324" s="743"/>
      <c r="H324" s="743"/>
      <c r="I324" s="743"/>
      <c r="J324" s="744"/>
    </row>
    <row r="325" spans="1:10" ht="12.75" customHeight="1" x14ac:dyDescent="0.2">
      <c r="A325" s="742"/>
      <c r="B325" s="743"/>
      <c r="C325" s="743"/>
      <c r="D325" s="743"/>
      <c r="E325" s="743"/>
      <c r="F325" s="743"/>
      <c r="G325" s="743"/>
      <c r="H325" s="743"/>
      <c r="I325" s="743"/>
      <c r="J325" s="744"/>
    </row>
    <row r="326" spans="1:10" ht="12.75" customHeight="1" x14ac:dyDescent="0.2">
      <c r="A326" s="742"/>
      <c r="B326" s="743"/>
      <c r="C326" s="743"/>
      <c r="D326" s="743"/>
      <c r="E326" s="743"/>
      <c r="F326" s="743"/>
      <c r="G326" s="743"/>
      <c r="H326" s="743"/>
      <c r="I326" s="743"/>
      <c r="J326" s="744"/>
    </row>
    <row r="327" spans="1:10" ht="12.75" customHeight="1" x14ac:dyDescent="0.2">
      <c r="A327" s="742"/>
      <c r="B327" s="743"/>
      <c r="C327" s="743"/>
      <c r="D327" s="743"/>
      <c r="E327" s="743"/>
      <c r="F327" s="743"/>
      <c r="G327" s="743"/>
      <c r="H327" s="743"/>
      <c r="I327" s="743"/>
      <c r="J327" s="744"/>
    </row>
    <row r="328" spans="1:10" ht="12.75" customHeight="1" x14ac:dyDescent="0.2">
      <c r="A328" s="742"/>
      <c r="B328" s="743"/>
      <c r="C328" s="743"/>
      <c r="D328" s="743"/>
      <c r="E328" s="743"/>
      <c r="F328" s="743"/>
      <c r="G328" s="743"/>
      <c r="H328" s="743"/>
      <c r="I328" s="743"/>
      <c r="J328" s="744"/>
    </row>
    <row r="329" spans="1:10" ht="12.75" customHeight="1" x14ac:dyDescent="0.2">
      <c r="A329" s="742"/>
      <c r="B329" s="743"/>
      <c r="C329" s="743"/>
      <c r="D329" s="743"/>
      <c r="E329" s="743"/>
      <c r="F329" s="743"/>
      <c r="G329" s="743"/>
      <c r="H329" s="743"/>
      <c r="I329" s="743"/>
      <c r="J329" s="744"/>
    </row>
    <row r="330" spans="1:10" ht="12.75" customHeight="1" x14ac:dyDescent="0.2">
      <c r="A330" s="742"/>
      <c r="B330" s="743"/>
      <c r="C330" s="743"/>
      <c r="D330" s="743"/>
      <c r="E330" s="743"/>
      <c r="F330" s="743"/>
      <c r="G330" s="743"/>
      <c r="H330" s="743"/>
      <c r="I330" s="743"/>
      <c r="J330" s="744"/>
    </row>
    <row r="331" spans="1:10" ht="12.75" customHeight="1" x14ac:dyDescent="0.2">
      <c r="A331" s="742"/>
      <c r="B331" s="743"/>
      <c r="C331" s="743"/>
      <c r="D331" s="743"/>
      <c r="E331" s="743"/>
      <c r="F331" s="743"/>
      <c r="G331" s="743"/>
      <c r="H331" s="743"/>
      <c r="I331" s="743"/>
      <c r="J331" s="744"/>
    </row>
    <row r="332" spans="1:10" ht="12.75" customHeight="1" x14ac:dyDescent="0.2">
      <c r="A332" s="742"/>
      <c r="B332" s="743"/>
      <c r="C332" s="743"/>
      <c r="D332" s="743"/>
      <c r="E332" s="743"/>
      <c r="F332" s="743"/>
      <c r="G332" s="743"/>
      <c r="H332" s="743"/>
      <c r="I332" s="743"/>
      <c r="J332" s="744"/>
    </row>
    <row r="333" spans="1:10" ht="12.75" customHeight="1" x14ac:dyDescent="0.2">
      <c r="A333" s="742"/>
      <c r="B333" s="743"/>
      <c r="C333" s="743"/>
      <c r="D333" s="743"/>
      <c r="E333" s="743"/>
      <c r="F333" s="743"/>
      <c r="G333" s="743"/>
      <c r="H333" s="743"/>
      <c r="I333" s="743"/>
      <c r="J333" s="744"/>
    </row>
    <row r="334" spans="1:10" ht="12.75" customHeight="1" x14ac:dyDescent="0.2">
      <c r="A334" s="742"/>
      <c r="B334" s="743"/>
      <c r="C334" s="743"/>
      <c r="D334" s="743"/>
      <c r="E334" s="743"/>
      <c r="F334" s="743"/>
      <c r="G334" s="743"/>
      <c r="H334" s="743"/>
      <c r="I334" s="743"/>
      <c r="J334" s="744"/>
    </row>
    <row r="335" spans="1:10" ht="12.75" customHeight="1" x14ac:dyDescent="0.2">
      <c r="A335" s="742"/>
      <c r="B335" s="743"/>
      <c r="C335" s="743"/>
      <c r="D335" s="743"/>
      <c r="E335" s="743"/>
      <c r="F335" s="743"/>
      <c r="G335" s="743"/>
      <c r="H335" s="743"/>
      <c r="I335" s="743"/>
      <c r="J335" s="744"/>
    </row>
    <row r="336" spans="1:10" ht="12.75" customHeight="1" x14ac:dyDescent="0.2">
      <c r="A336" s="742"/>
      <c r="B336" s="743"/>
      <c r="C336" s="743"/>
      <c r="D336" s="743"/>
      <c r="E336" s="743"/>
      <c r="F336" s="743"/>
      <c r="G336" s="743"/>
      <c r="H336" s="743"/>
      <c r="I336" s="743"/>
      <c r="J336" s="744"/>
    </row>
    <row r="337" spans="1:10" s="61" customFormat="1" x14ac:dyDescent="0.2">
      <c r="A337" s="55"/>
      <c r="B337" s="56"/>
      <c r="C337" s="57"/>
      <c r="D337" s="58"/>
      <c r="E337" s="58"/>
      <c r="F337" s="58"/>
      <c r="G337" s="58"/>
      <c r="H337" s="59"/>
      <c r="I337" s="57"/>
      <c r="J337" s="60"/>
    </row>
    <row r="338" spans="1:10" s="61" customFormat="1" ht="25.5" customHeight="1" x14ac:dyDescent="0.2">
      <c r="A338" s="730" t="s">
        <v>108</v>
      </c>
      <c r="B338" s="731"/>
      <c r="C338" s="731"/>
      <c r="D338" s="731"/>
      <c r="E338" s="731"/>
      <c r="F338" s="731"/>
      <c r="G338" s="731"/>
      <c r="H338" s="731"/>
      <c r="I338" s="731"/>
      <c r="J338" s="732"/>
    </row>
    <row r="339" spans="1:10" s="61" customFormat="1" ht="12.75" customHeight="1" x14ac:dyDescent="0.2">
      <c r="A339" s="475" t="s">
        <v>169</v>
      </c>
      <c r="B339" s="476"/>
      <c r="C339" s="476"/>
      <c r="D339" s="476"/>
      <c r="E339" s="476"/>
      <c r="F339" s="746">
        <v>0.16</v>
      </c>
      <c r="G339" s="746"/>
      <c r="H339" s="746"/>
      <c r="I339" s="746"/>
      <c r="J339" s="747"/>
    </row>
    <row r="340" spans="1:10" ht="12.75" customHeight="1" x14ac:dyDescent="0.2">
      <c r="A340" s="721" t="s">
        <v>369</v>
      </c>
      <c r="B340" s="722"/>
      <c r="C340" s="722"/>
      <c r="D340" s="722"/>
      <c r="E340" s="722"/>
      <c r="F340" s="722"/>
      <c r="G340" s="722"/>
      <c r="H340" s="722"/>
      <c r="I340" s="722"/>
      <c r="J340" s="723"/>
    </row>
    <row r="341" spans="1:10" ht="12.75" customHeight="1" x14ac:dyDescent="0.2">
      <c r="A341" s="724"/>
      <c r="B341" s="725"/>
      <c r="C341" s="725"/>
      <c r="D341" s="725"/>
      <c r="E341" s="725"/>
      <c r="F341" s="725"/>
      <c r="G341" s="725"/>
      <c r="H341" s="725"/>
      <c r="I341" s="725"/>
      <c r="J341" s="726"/>
    </row>
    <row r="342" spans="1:10" ht="12.75" customHeight="1" x14ac:dyDescent="0.2">
      <c r="A342" s="724"/>
      <c r="B342" s="725"/>
      <c r="C342" s="725"/>
      <c r="D342" s="725"/>
      <c r="E342" s="725"/>
      <c r="F342" s="725"/>
      <c r="G342" s="725"/>
      <c r="H342" s="725"/>
      <c r="I342" s="725"/>
      <c r="J342" s="726"/>
    </row>
    <row r="343" spans="1:10" ht="15" customHeight="1" x14ac:dyDescent="0.2">
      <c r="A343" s="727"/>
      <c r="B343" s="728"/>
      <c r="C343" s="728"/>
      <c r="D343" s="728"/>
      <c r="E343" s="728"/>
      <c r="F343" s="728"/>
      <c r="G343" s="728"/>
      <c r="H343" s="728"/>
      <c r="I343" s="728"/>
      <c r="J343" s="729"/>
    </row>
    <row r="344" spans="1:10" ht="12.75" customHeight="1" x14ac:dyDescent="0.2">
      <c r="A344" s="742" t="s">
        <v>1150</v>
      </c>
      <c r="B344" s="743"/>
      <c r="C344" s="743"/>
      <c r="D344" s="743"/>
      <c r="E344" s="743"/>
      <c r="F344" s="743"/>
      <c r="G344" s="743"/>
      <c r="H344" s="743"/>
      <c r="I344" s="743"/>
      <c r="J344" s="744"/>
    </row>
    <row r="345" spans="1:10" ht="12.75" customHeight="1" x14ac:dyDescent="0.2">
      <c r="A345" s="742"/>
      <c r="B345" s="743"/>
      <c r="C345" s="743"/>
      <c r="D345" s="743"/>
      <c r="E345" s="743"/>
      <c r="F345" s="743"/>
      <c r="G345" s="743"/>
      <c r="H345" s="743"/>
      <c r="I345" s="743"/>
      <c r="J345" s="744"/>
    </row>
    <row r="346" spans="1:10" ht="12.75" customHeight="1" x14ac:dyDescent="0.2">
      <c r="A346" s="742"/>
      <c r="B346" s="743"/>
      <c r="C346" s="743"/>
      <c r="D346" s="743"/>
      <c r="E346" s="743"/>
      <c r="F346" s="743"/>
      <c r="G346" s="743"/>
      <c r="H346" s="743"/>
      <c r="I346" s="743"/>
      <c r="J346" s="744"/>
    </row>
    <row r="347" spans="1:10" ht="12.75" customHeight="1" x14ac:dyDescent="0.2">
      <c r="A347" s="742"/>
      <c r="B347" s="743"/>
      <c r="C347" s="743"/>
      <c r="D347" s="743"/>
      <c r="E347" s="743"/>
      <c r="F347" s="743"/>
      <c r="G347" s="743"/>
      <c r="H347" s="743"/>
      <c r="I347" s="743"/>
      <c r="J347" s="744"/>
    </row>
    <row r="348" spans="1:10" ht="12.75" customHeight="1" x14ac:dyDescent="0.2">
      <c r="A348" s="742"/>
      <c r="B348" s="743"/>
      <c r="C348" s="743"/>
      <c r="D348" s="743"/>
      <c r="E348" s="743"/>
      <c r="F348" s="743"/>
      <c r="G348" s="743"/>
      <c r="H348" s="743"/>
      <c r="I348" s="743"/>
      <c r="J348" s="744"/>
    </row>
    <row r="349" spans="1:10" ht="12.75" customHeight="1" x14ac:dyDescent="0.2">
      <c r="A349" s="742"/>
      <c r="B349" s="743"/>
      <c r="C349" s="743"/>
      <c r="D349" s="743"/>
      <c r="E349" s="743"/>
      <c r="F349" s="743"/>
      <c r="G349" s="743"/>
      <c r="H349" s="743"/>
      <c r="I349" s="743"/>
      <c r="J349" s="744"/>
    </row>
    <row r="350" spans="1:10" ht="12.75" customHeight="1" x14ac:dyDescent="0.2">
      <c r="A350" s="742"/>
      <c r="B350" s="743"/>
      <c r="C350" s="743"/>
      <c r="D350" s="743"/>
      <c r="E350" s="743"/>
      <c r="F350" s="743"/>
      <c r="G350" s="743"/>
      <c r="H350" s="743"/>
      <c r="I350" s="743"/>
      <c r="J350" s="744"/>
    </row>
    <row r="351" spans="1:10" ht="12.75" customHeight="1" x14ac:dyDescent="0.2">
      <c r="A351" s="742"/>
      <c r="B351" s="743"/>
      <c r="C351" s="743"/>
      <c r="D351" s="743"/>
      <c r="E351" s="743"/>
      <c r="F351" s="743"/>
      <c r="G351" s="743"/>
      <c r="H351" s="743"/>
      <c r="I351" s="743"/>
      <c r="J351" s="744"/>
    </row>
    <row r="352" spans="1:10" ht="12.75" customHeight="1" x14ac:dyDescent="0.2">
      <c r="A352" s="742"/>
      <c r="B352" s="743"/>
      <c r="C352" s="743"/>
      <c r="D352" s="743"/>
      <c r="E352" s="743"/>
      <c r="F352" s="743"/>
      <c r="G352" s="743"/>
      <c r="H352" s="743"/>
      <c r="I352" s="743"/>
      <c r="J352" s="744"/>
    </row>
    <row r="353" spans="1:10" ht="12.75" customHeight="1" x14ac:dyDescent="0.2">
      <c r="A353" s="742"/>
      <c r="B353" s="743"/>
      <c r="C353" s="743"/>
      <c r="D353" s="743"/>
      <c r="E353" s="743"/>
      <c r="F353" s="743"/>
      <c r="G353" s="743"/>
      <c r="H353" s="743"/>
      <c r="I353" s="743"/>
      <c r="J353" s="744"/>
    </row>
    <row r="354" spans="1:10" ht="12.75" customHeight="1" x14ac:dyDescent="0.2">
      <c r="A354" s="742"/>
      <c r="B354" s="743"/>
      <c r="C354" s="743"/>
      <c r="D354" s="743"/>
      <c r="E354" s="743"/>
      <c r="F354" s="743"/>
      <c r="G354" s="743"/>
      <c r="H354" s="743"/>
      <c r="I354" s="743"/>
      <c r="J354" s="744"/>
    </row>
    <row r="355" spans="1:10" ht="12.75" customHeight="1" x14ac:dyDescent="0.2">
      <c r="A355" s="742"/>
      <c r="B355" s="743"/>
      <c r="C355" s="743"/>
      <c r="D355" s="743"/>
      <c r="E355" s="743"/>
      <c r="F355" s="743"/>
      <c r="G355" s="743"/>
      <c r="H355" s="743"/>
      <c r="I355" s="743"/>
      <c r="J355" s="744"/>
    </row>
    <row r="356" spans="1:10" ht="12.75" customHeight="1" x14ac:dyDescent="0.2">
      <c r="A356" s="742"/>
      <c r="B356" s="743"/>
      <c r="C356" s="743"/>
      <c r="D356" s="743"/>
      <c r="E356" s="743"/>
      <c r="F356" s="743"/>
      <c r="G356" s="743"/>
      <c r="H356" s="743"/>
      <c r="I356" s="743"/>
      <c r="J356" s="744"/>
    </row>
    <row r="357" spans="1:10" ht="12.75" customHeight="1" x14ac:dyDescent="0.2">
      <c r="A357" s="742"/>
      <c r="B357" s="743"/>
      <c r="C357" s="743"/>
      <c r="D357" s="743"/>
      <c r="E357" s="743"/>
      <c r="F357" s="743"/>
      <c r="G357" s="743"/>
      <c r="H357" s="743"/>
      <c r="I357" s="743"/>
      <c r="J357" s="744"/>
    </row>
    <row r="358" spans="1:10" ht="12.75" customHeight="1" x14ac:dyDescent="0.2">
      <c r="A358" s="742"/>
      <c r="B358" s="743"/>
      <c r="C358" s="743"/>
      <c r="D358" s="743"/>
      <c r="E358" s="743"/>
      <c r="F358" s="743"/>
      <c r="G358" s="743"/>
      <c r="H358" s="743"/>
      <c r="I358" s="743"/>
      <c r="J358" s="744"/>
    </row>
    <row r="359" spans="1:10" ht="12.75" customHeight="1" x14ac:dyDescent="0.2">
      <c r="A359" s="742"/>
      <c r="B359" s="743"/>
      <c r="C359" s="743"/>
      <c r="D359" s="743"/>
      <c r="E359" s="743"/>
      <c r="F359" s="743"/>
      <c r="G359" s="743"/>
      <c r="H359" s="743"/>
      <c r="I359" s="743"/>
      <c r="J359" s="744"/>
    </row>
    <row r="360" spans="1:10" ht="12.75" customHeight="1" x14ac:dyDescent="0.2">
      <c r="A360" s="742"/>
      <c r="B360" s="743"/>
      <c r="C360" s="743"/>
      <c r="D360" s="743"/>
      <c r="E360" s="743"/>
      <c r="F360" s="743"/>
      <c r="G360" s="743"/>
      <c r="H360" s="743"/>
      <c r="I360" s="743"/>
      <c r="J360" s="744"/>
    </row>
    <row r="361" spans="1:10" ht="12.75" customHeight="1" x14ac:dyDescent="0.2">
      <c r="A361" s="742"/>
      <c r="B361" s="743"/>
      <c r="C361" s="743"/>
      <c r="D361" s="743"/>
      <c r="E361" s="743"/>
      <c r="F361" s="743"/>
      <c r="G361" s="743"/>
      <c r="H361" s="743"/>
      <c r="I361" s="743"/>
      <c r="J361" s="744"/>
    </row>
    <row r="362" spans="1:10" ht="12.75" customHeight="1" x14ac:dyDescent="0.2">
      <c r="A362" s="742"/>
      <c r="B362" s="743"/>
      <c r="C362" s="743"/>
      <c r="D362" s="743"/>
      <c r="E362" s="743"/>
      <c r="F362" s="743"/>
      <c r="G362" s="743"/>
      <c r="H362" s="743"/>
      <c r="I362" s="743"/>
      <c r="J362" s="744"/>
    </row>
    <row r="363" spans="1:10" ht="12.75" customHeight="1" x14ac:dyDescent="0.2">
      <c r="A363" s="742"/>
      <c r="B363" s="743"/>
      <c r="C363" s="743"/>
      <c r="D363" s="743"/>
      <c r="E363" s="743"/>
      <c r="F363" s="743"/>
      <c r="G363" s="743"/>
      <c r="H363" s="743"/>
      <c r="I363" s="743"/>
      <c r="J363" s="744"/>
    </row>
    <row r="364" spans="1:10" ht="12.75" customHeight="1" x14ac:dyDescent="0.2">
      <c r="A364" s="742"/>
      <c r="B364" s="743"/>
      <c r="C364" s="743"/>
      <c r="D364" s="743"/>
      <c r="E364" s="743"/>
      <c r="F364" s="743"/>
      <c r="G364" s="743"/>
      <c r="H364" s="743"/>
      <c r="I364" s="743"/>
      <c r="J364" s="744"/>
    </row>
    <row r="365" spans="1:10" ht="12.75" customHeight="1" x14ac:dyDescent="0.2">
      <c r="A365" s="742"/>
      <c r="B365" s="743"/>
      <c r="C365" s="743"/>
      <c r="D365" s="743"/>
      <c r="E365" s="743"/>
      <c r="F365" s="743"/>
      <c r="G365" s="743"/>
      <c r="H365" s="743"/>
      <c r="I365" s="743"/>
      <c r="J365" s="744"/>
    </row>
    <row r="366" spans="1:10" ht="12.75" customHeight="1" x14ac:dyDescent="0.2">
      <c r="A366" s="742"/>
      <c r="B366" s="743"/>
      <c r="C366" s="743"/>
      <c r="D366" s="743"/>
      <c r="E366" s="743"/>
      <c r="F366" s="743"/>
      <c r="G366" s="743"/>
      <c r="H366" s="743"/>
      <c r="I366" s="743"/>
      <c r="J366" s="744"/>
    </row>
    <row r="367" spans="1:10" ht="12.75" customHeight="1" x14ac:dyDescent="0.2">
      <c r="A367" s="742"/>
      <c r="B367" s="743"/>
      <c r="C367" s="743"/>
      <c r="D367" s="743"/>
      <c r="E367" s="743"/>
      <c r="F367" s="743"/>
      <c r="G367" s="743"/>
      <c r="H367" s="743"/>
      <c r="I367" s="743"/>
      <c r="J367" s="744"/>
    </row>
    <row r="368" spans="1:10" ht="12.75" customHeight="1" x14ac:dyDescent="0.2">
      <c r="A368" s="742"/>
      <c r="B368" s="743"/>
      <c r="C368" s="743"/>
      <c r="D368" s="743"/>
      <c r="E368" s="743"/>
      <c r="F368" s="743"/>
      <c r="G368" s="743"/>
      <c r="H368" s="743"/>
      <c r="I368" s="743"/>
      <c r="J368" s="744"/>
    </row>
    <row r="369" spans="1:10" ht="12.75" customHeight="1" x14ac:dyDescent="0.2">
      <c r="A369" s="742"/>
      <c r="B369" s="743"/>
      <c r="C369" s="743"/>
      <c r="D369" s="743"/>
      <c r="E369" s="743"/>
      <c r="F369" s="743"/>
      <c r="G369" s="743"/>
      <c r="H369" s="743"/>
      <c r="I369" s="743"/>
      <c r="J369" s="744"/>
    </row>
    <row r="370" spans="1:10" ht="12.75" customHeight="1" x14ac:dyDescent="0.2">
      <c r="A370" s="742"/>
      <c r="B370" s="743"/>
      <c r="C370" s="743"/>
      <c r="D370" s="743"/>
      <c r="E370" s="743"/>
      <c r="F370" s="743"/>
      <c r="G370" s="743"/>
      <c r="H370" s="743"/>
      <c r="I370" s="743"/>
      <c r="J370" s="744"/>
    </row>
    <row r="371" spans="1:10" ht="12.75" customHeight="1" x14ac:dyDescent="0.2">
      <c r="A371" s="742"/>
      <c r="B371" s="743"/>
      <c r="C371" s="743"/>
      <c r="D371" s="743"/>
      <c r="E371" s="743"/>
      <c r="F371" s="743"/>
      <c r="G371" s="743"/>
      <c r="H371" s="743"/>
      <c r="I371" s="743"/>
      <c r="J371" s="744"/>
    </row>
    <row r="372" spans="1:10" ht="12.75" customHeight="1" x14ac:dyDescent="0.2">
      <c r="A372" s="742"/>
      <c r="B372" s="743"/>
      <c r="C372" s="743"/>
      <c r="D372" s="743"/>
      <c r="E372" s="743"/>
      <c r="F372" s="743"/>
      <c r="G372" s="743"/>
      <c r="H372" s="743"/>
      <c r="I372" s="743"/>
      <c r="J372" s="744"/>
    </row>
    <row r="373" spans="1:10" ht="12.75" customHeight="1" x14ac:dyDescent="0.2">
      <c r="A373" s="742"/>
      <c r="B373" s="743"/>
      <c r="C373" s="743"/>
      <c r="D373" s="743"/>
      <c r="E373" s="743"/>
      <c r="F373" s="743"/>
      <c r="G373" s="743"/>
      <c r="H373" s="743"/>
      <c r="I373" s="743"/>
      <c r="J373" s="744"/>
    </row>
    <row r="374" spans="1:10" ht="12.75" customHeight="1" x14ac:dyDescent="0.2">
      <c r="A374" s="742"/>
      <c r="B374" s="743"/>
      <c r="C374" s="743"/>
      <c r="D374" s="743"/>
      <c r="E374" s="743"/>
      <c r="F374" s="743"/>
      <c r="G374" s="743"/>
      <c r="H374" s="743"/>
      <c r="I374" s="743"/>
      <c r="J374" s="744"/>
    </row>
    <row r="375" spans="1:10" ht="12.75" customHeight="1" x14ac:dyDescent="0.2">
      <c r="A375" s="742"/>
      <c r="B375" s="743"/>
      <c r="C375" s="743"/>
      <c r="D375" s="743"/>
      <c r="E375" s="743"/>
      <c r="F375" s="743"/>
      <c r="G375" s="743"/>
      <c r="H375" s="743"/>
      <c r="I375" s="743"/>
      <c r="J375" s="744"/>
    </row>
    <row r="376" spans="1:10" ht="12.75" customHeight="1" x14ac:dyDescent="0.2">
      <c r="A376" s="742"/>
      <c r="B376" s="743"/>
      <c r="C376" s="743"/>
      <c r="D376" s="743"/>
      <c r="E376" s="743"/>
      <c r="F376" s="743"/>
      <c r="G376" s="743"/>
      <c r="H376" s="743"/>
      <c r="I376" s="743"/>
      <c r="J376" s="744"/>
    </row>
    <row r="377" spans="1:10" ht="12.75" customHeight="1" x14ac:dyDescent="0.2">
      <c r="A377" s="742"/>
      <c r="B377" s="743"/>
      <c r="C377" s="743"/>
      <c r="D377" s="743"/>
      <c r="E377" s="743"/>
      <c r="F377" s="743"/>
      <c r="G377" s="743"/>
      <c r="H377" s="743"/>
      <c r="I377" s="743"/>
      <c r="J377" s="744"/>
    </row>
    <row r="378" spans="1:10" ht="12.75" customHeight="1" x14ac:dyDescent="0.2">
      <c r="A378" s="742"/>
      <c r="B378" s="743"/>
      <c r="C378" s="743"/>
      <c r="D378" s="743"/>
      <c r="E378" s="743"/>
      <c r="F378" s="743"/>
      <c r="G378" s="743"/>
      <c r="H378" s="743"/>
      <c r="I378" s="743"/>
      <c r="J378" s="744"/>
    </row>
    <row r="379" spans="1:10" s="61" customFormat="1" x14ac:dyDescent="0.2">
      <c r="A379" s="55"/>
      <c r="B379" s="56"/>
      <c r="C379" s="57"/>
      <c r="D379" s="58"/>
      <c r="E379" s="58"/>
      <c r="F379" s="58"/>
      <c r="G379" s="58"/>
      <c r="H379" s="59"/>
      <c r="I379" s="57"/>
      <c r="J379" s="60"/>
    </row>
    <row r="380" spans="1:10" s="61" customFormat="1" ht="25.5" customHeight="1" x14ac:dyDescent="0.2">
      <c r="A380" s="730" t="s">
        <v>176</v>
      </c>
      <c r="B380" s="731"/>
      <c r="C380" s="731"/>
      <c r="D380" s="731"/>
      <c r="E380" s="731"/>
      <c r="F380" s="731"/>
      <c r="G380" s="731"/>
      <c r="H380" s="731"/>
      <c r="I380" s="731"/>
      <c r="J380" s="732"/>
    </row>
    <row r="381" spans="1:10" s="61" customFormat="1" ht="12.75" customHeight="1" x14ac:dyDescent="0.2">
      <c r="A381" s="475" t="s">
        <v>169</v>
      </c>
      <c r="B381" s="476"/>
      <c r="C381" s="476"/>
      <c r="D381" s="476"/>
      <c r="E381" s="476"/>
      <c r="F381" s="746"/>
      <c r="G381" s="746"/>
      <c r="H381" s="746"/>
      <c r="I381" s="746"/>
      <c r="J381" s="747"/>
    </row>
    <row r="382" spans="1:10" ht="12.75" customHeight="1" x14ac:dyDescent="0.2">
      <c r="A382" s="721" t="s">
        <v>369</v>
      </c>
      <c r="B382" s="722"/>
      <c r="C382" s="722"/>
      <c r="D382" s="722"/>
      <c r="E382" s="722"/>
      <c r="F382" s="722"/>
      <c r="G382" s="722"/>
      <c r="H382" s="722"/>
      <c r="I382" s="722"/>
      <c r="J382" s="723"/>
    </row>
    <row r="383" spans="1:10" ht="12.75" customHeight="1" x14ac:dyDescent="0.2">
      <c r="A383" s="724"/>
      <c r="B383" s="725"/>
      <c r="C383" s="725"/>
      <c r="D383" s="725"/>
      <c r="E383" s="725"/>
      <c r="F383" s="725"/>
      <c r="G383" s="725"/>
      <c r="H383" s="725"/>
      <c r="I383" s="725"/>
      <c r="J383" s="726"/>
    </row>
    <row r="384" spans="1:10" ht="12.75" customHeight="1" x14ac:dyDescent="0.2">
      <c r="A384" s="724"/>
      <c r="B384" s="725"/>
      <c r="C384" s="725"/>
      <c r="D384" s="725"/>
      <c r="E384" s="725"/>
      <c r="F384" s="725"/>
      <c r="G384" s="725"/>
      <c r="H384" s="725"/>
      <c r="I384" s="725"/>
      <c r="J384" s="726"/>
    </row>
    <row r="385" spans="1:10" ht="15" customHeight="1" x14ac:dyDescent="0.2">
      <c r="A385" s="727"/>
      <c r="B385" s="728"/>
      <c r="C385" s="728"/>
      <c r="D385" s="728"/>
      <c r="E385" s="728"/>
      <c r="F385" s="728"/>
      <c r="G385" s="728"/>
      <c r="H385" s="728"/>
      <c r="I385" s="728"/>
      <c r="J385" s="729"/>
    </row>
    <row r="386" spans="1:10" ht="12.75" customHeight="1" x14ac:dyDescent="0.2">
      <c r="A386" s="742"/>
      <c r="B386" s="743"/>
      <c r="C386" s="743"/>
      <c r="D386" s="743"/>
      <c r="E386" s="743"/>
      <c r="F386" s="743"/>
      <c r="G386" s="743"/>
      <c r="H386" s="743"/>
      <c r="I386" s="743"/>
      <c r="J386" s="744"/>
    </row>
    <row r="387" spans="1:10" ht="12.75" customHeight="1" x14ac:dyDescent="0.2">
      <c r="A387" s="742"/>
      <c r="B387" s="743"/>
      <c r="C387" s="743"/>
      <c r="D387" s="743"/>
      <c r="E387" s="743"/>
      <c r="F387" s="743"/>
      <c r="G387" s="743"/>
      <c r="H387" s="743"/>
      <c r="I387" s="743"/>
      <c r="J387" s="744"/>
    </row>
    <row r="388" spans="1:10" ht="12.75" customHeight="1" x14ac:dyDescent="0.2">
      <c r="A388" s="742"/>
      <c r="B388" s="743"/>
      <c r="C388" s="743"/>
      <c r="D388" s="743"/>
      <c r="E388" s="743"/>
      <c r="F388" s="743"/>
      <c r="G388" s="743"/>
      <c r="H388" s="743"/>
      <c r="I388" s="743"/>
      <c r="J388" s="744"/>
    </row>
    <row r="389" spans="1:10" ht="12.75" customHeight="1" x14ac:dyDescent="0.2">
      <c r="A389" s="742"/>
      <c r="B389" s="743"/>
      <c r="C389" s="743"/>
      <c r="D389" s="743"/>
      <c r="E389" s="743"/>
      <c r="F389" s="743"/>
      <c r="G389" s="743"/>
      <c r="H389" s="743"/>
      <c r="I389" s="743"/>
      <c r="J389" s="744"/>
    </row>
    <row r="390" spans="1:10" ht="12.75" customHeight="1" x14ac:dyDescent="0.2">
      <c r="A390" s="742"/>
      <c r="B390" s="743"/>
      <c r="C390" s="743"/>
      <c r="D390" s="743"/>
      <c r="E390" s="743"/>
      <c r="F390" s="743"/>
      <c r="G390" s="743"/>
      <c r="H390" s="743"/>
      <c r="I390" s="743"/>
      <c r="J390" s="744"/>
    </row>
    <row r="391" spans="1:10" ht="12.75" customHeight="1" x14ac:dyDescent="0.2">
      <c r="A391" s="742"/>
      <c r="B391" s="743"/>
      <c r="C391" s="743"/>
      <c r="D391" s="743"/>
      <c r="E391" s="743"/>
      <c r="F391" s="743"/>
      <c r="G391" s="743"/>
      <c r="H391" s="743"/>
      <c r="I391" s="743"/>
      <c r="J391" s="744"/>
    </row>
    <row r="392" spans="1:10" ht="12.75" customHeight="1" x14ac:dyDescent="0.2">
      <c r="A392" s="742"/>
      <c r="B392" s="743"/>
      <c r="C392" s="743"/>
      <c r="D392" s="743"/>
      <c r="E392" s="743"/>
      <c r="F392" s="743"/>
      <c r="G392" s="743"/>
      <c r="H392" s="743"/>
      <c r="I392" s="743"/>
      <c r="J392" s="744"/>
    </row>
    <row r="393" spans="1:10" ht="12.75" customHeight="1" x14ac:dyDescent="0.2">
      <c r="A393" s="742"/>
      <c r="B393" s="743"/>
      <c r="C393" s="743"/>
      <c r="D393" s="743"/>
      <c r="E393" s="743"/>
      <c r="F393" s="743"/>
      <c r="G393" s="743"/>
      <c r="H393" s="743"/>
      <c r="I393" s="743"/>
      <c r="J393" s="744"/>
    </row>
    <row r="394" spans="1:10" ht="12.75" customHeight="1" x14ac:dyDescent="0.2">
      <c r="A394" s="742"/>
      <c r="B394" s="743"/>
      <c r="C394" s="743"/>
      <c r="D394" s="743"/>
      <c r="E394" s="743"/>
      <c r="F394" s="743"/>
      <c r="G394" s="743"/>
      <c r="H394" s="743"/>
      <c r="I394" s="743"/>
      <c r="J394" s="744"/>
    </row>
    <row r="395" spans="1:10" ht="12.75" customHeight="1" x14ac:dyDescent="0.2">
      <c r="A395" s="742"/>
      <c r="B395" s="743"/>
      <c r="C395" s="743"/>
      <c r="D395" s="743"/>
      <c r="E395" s="743"/>
      <c r="F395" s="743"/>
      <c r="G395" s="743"/>
      <c r="H395" s="743"/>
      <c r="I395" s="743"/>
      <c r="J395" s="744"/>
    </row>
    <row r="396" spans="1:10" ht="12.75" customHeight="1" x14ac:dyDescent="0.2">
      <c r="A396" s="742"/>
      <c r="B396" s="743"/>
      <c r="C396" s="743"/>
      <c r="D396" s="743"/>
      <c r="E396" s="743"/>
      <c r="F396" s="743"/>
      <c r="G396" s="743"/>
      <c r="H396" s="743"/>
      <c r="I396" s="743"/>
      <c r="J396" s="744"/>
    </row>
    <row r="397" spans="1:10" ht="12.75" customHeight="1" x14ac:dyDescent="0.2">
      <c r="A397" s="742"/>
      <c r="B397" s="743"/>
      <c r="C397" s="743"/>
      <c r="D397" s="743"/>
      <c r="E397" s="743"/>
      <c r="F397" s="743"/>
      <c r="G397" s="743"/>
      <c r="H397" s="743"/>
      <c r="I397" s="743"/>
      <c r="J397" s="744"/>
    </row>
    <row r="398" spans="1:10" ht="12.75" customHeight="1" x14ac:dyDescent="0.2">
      <c r="A398" s="742"/>
      <c r="B398" s="743"/>
      <c r="C398" s="743"/>
      <c r="D398" s="743"/>
      <c r="E398" s="743"/>
      <c r="F398" s="743"/>
      <c r="G398" s="743"/>
      <c r="H398" s="743"/>
      <c r="I398" s="743"/>
      <c r="J398" s="744"/>
    </row>
    <row r="399" spans="1:10" ht="12.75" customHeight="1" x14ac:dyDescent="0.2">
      <c r="A399" s="742"/>
      <c r="B399" s="743"/>
      <c r="C399" s="743"/>
      <c r="D399" s="743"/>
      <c r="E399" s="743"/>
      <c r="F399" s="743"/>
      <c r="G399" s="743"/>
      <c r="H399" s="743"/>
      <c r="I399" s="743"/>
      <c r="J399" s="744"/>
    </row>
    <row r="400" spans="1:10" ht="12.75" customHeight="1" x14ac:dyDescent="0.2">
      <c r="A400" s="742"/>
      <c r="B400" s="743"/>
      <c r="C400" s="743"/>
      <c r="D400" s="743"/>
      <c r="E400" s="743"/>
      <c r="F400" s="743"/>
      <c r="G400" s="743"/>
      <c r="H400" s="743"/>
      <c r="I400" s="743"/>
      <c r="J400" s="744"/>
    </row>
    <row r="401" spans="1:10" ht="12.75" customHeight="1" x14ac:dyDescent="0.2">
      <c r="A401" s="742"/>
      <c r="B401" s="743"/>
      <c r="C401" s="743"/>
      <c r="D401" s="743"/>
      <c r="E401" s="743"/>
      <c r="F401" s="743"/>
      <c r="G401" s="743"/>
      <c r="H401" s="743"/>
      <c r="I401" s="743"/>
      <c r="J401" s="744"/>
    </row>
    <row r="402" spans="1:10" ht="12.75" customHeight="1" x14ac:dyDescent="0.2">
      <c r="A402" s="742"/>
      <c r="B402" s="743"/>
      <c r="C402" s="743"/>
      <c r="D402" s="743"/>
      <c r="E402" s="743"/>
      <c r="F402" s="743"/>
      <c r="G402" s="743"/>
      <c r="H402" s="743"/>
      <c r="I402" s="743"/>
      <c r="J402" s="744"/>
    </row>
    <row r="403" spans="1:10" ht="12.75" customHeight="1" x14ac:dyDescent="0.2">
      <c r="A403" s="742"/>
      <c r="B403" s="743"/>
      <c r="C403" s="743"/>
      <c r="D403" s="743"/>
      <c r="E403" s="743"/>
      <c r="F403" s="743"/>
      <c r="G403" s="743"/>
      <c r="H403" s="743"/>
      <c r="I403" s="743"/>
      <c r="J403" s="744"/>
    </row>
    <row r="404" spans="1:10" ht="12.75" customHeight="1" x14ac:dyDescent="0.2">
      <c r="A404" s="742"/>
      <c r="B404" s="743"/>
      <c r="C404" s="743"/>
      <c r="D404" s="743"/>
      <c r="E404" s="743"/>
      <c r="F404" s="743"/>
      <c r="G404" s="743"/>
      <c r="H404" s="743"/>
      <c r="I404" s="743"/>
      <c r="J404" s="744"/>
    </row>
    <row r="405" spans="1:10" ht="12.75" customHeight="1" x14ac:dyDescent="0.2">
      <c r="A405" s="742"/>
      <c r="B405" s="743"/>
      <c r="C405" s="743"/>
      <c r="D405" s="743"/>
      <c r="E405" s="743"/>
      <c r="F405" s="743"/>
      <c r="G405" s="743"/>
      <c r="H405" s="743"/>
      <c r="I405" s="743"/>
      <c r="J405" s="744"/>
    </row>
    <row r="406" spans="1:10" ht="12.75" customHeight="1" x14ac:dyDescent="0.2">
      <c r="A406" s="742"/>
      <c r="B406" s="743"/>
      <c r="C406" s="743"/>
      <c r="D406" s="743"/>
      <c r="E406" s="743"/>
      <c r="F406" s="743"/>
      <c r="G406" s="743"/>
      <c r="H406" s="743"/>
      <c r="I406" s="743"/>
      <c r="J406" s="744"/>
    </row>
    <row r="407" spans="1:10" ht="12.75" customHeight="1" x14ac:dyDescent="0.2">
      <c r="A407" s="742"/>
      <c r="B407" s="743"/>
      <c r="C407" s="743"/>
      <c r="D407" s="743"/>
      <c r="E407" s="743"/>
      <c r="F407" s="743"/>
      <c r="G407" s="743"/>
      <c r="H407" s="743"/>
      <c r="I407" s="743"/>
      <c r="J407" s="744"/>
    </row>
    <row r="408" spans="1:10" ht="12.75" customHeight="1" x14ac:dyDescent="0.2">
      <c r="A408" s="742"/>
      <c r="B408" s="743"/>
      <c r="C408" s="743"/>
      <c r="D408" s="743"/>
      <c r="E408" s="743"/>
      <c r="F408" s="743"/>
      <c r="G408" s="743"/>
      <c r="H408" s="743"/>
      <c r="I408" s="743"/>
      <c r="J408" s="744"/>
    </row>
    <row r="409" spans="1:10" ht="12.75" customHeight="1" x14ac:dyDescent="0.2">
      <c r="A409" s="742"/>
      <c r="B409" s="743"/>
      <c r="C409" s="743"/>
      <c r="D409" s="743"/>
      <c r="E409" s="743"/>
      <c r="F409" s="743"/>
      <c r="G409" s="743"/>
      <c r="H409" s="743"/>
      <c r="I409" s="743"/>
      <c r="J409" s="744"/>
    </row>
    <row r="410" spans="1:10" ht="12.75" customHeight="1" x14ac:dyDescent="0.2">
      <c r="A410" s="742"/>
      <c r="B410" s="743"/>
      <c r="C410" s="743"/>
      <c r="D410" s="743"/>
      <c r="E410" s="743"/>
      <c r="F410" s="743"/>
      <c r="G410" s="743"/>
      <c r="H410" s="743"/>
      <c r="I410" s="743"/>
      <c r="J410" s="744"/>
    </row>
    <row r="411" spans="1:10" ht="12.75" customHeight="1" x14ac:dyDescent="0.2">
      <c r="A411" s="742"/>
      <c r="B411" s="743"/>
      <c r="C411" s="743"/>
      <c r="D411" s="743"/>
      <c r="E411" s="743"/>
      <c r="F411" s="743"/>
      <c r="G411" s="743"/>
      <c r="H411" s="743"/>
      <c r="I411" s="743"/>
      <c r="J411" s="744"/>
    </row>
    <row r="412" spans="1:10" ht="12.75" customHeight="1" x14ac:dyDescent="0.2">
      <c r="A412" s="742"/>
      <c r="B412" s="743"/>
      <c r="C412" s="743"/>
      <c r="D412" s="743"/>
      <c r="E412" s="743"/>
      <c r="F412" s="743"/>
      <c r="G412" s="743"/>
      <c r="H412" s="743"/>
      <c r="I412" s="743"/>
      <c r="J412" s="744"/>
    </row>
    <row r="413" spans="1:10" ht="12.75" customHeight="1" x14ac:dyDescent="0.2">
      <c r="A413" s="742"/>
      <c r="B413" s="743"/>
      <c r="C413" s="743"/>
      <c r="D413" s="743"/>
      <c r="E413" s="743"/>
      <c r="F413" s="743"/>
      <c r="G413" s="743"/>
      <c r="H413" s="743"/>
      <c r="I413" s="743"/>
      <c r="J413" s="744"/>
    </row>
    <row r="414" spans="1:10" ht="12.75" customHeight="1" x14ac:dyDescent="0.2">
      <c r="A414" s="742"/>
      <c r="B414" s="743"/>
      <c r="C414" s="743"/>
      <c r="D414" s="743"/>
      <c r="E414" s="743"/>
      <c r="F414" s="743"/>
      <c r="G414" s="743"/>
      <c r="H414" s="743"/>
      <c r="I414" s="743"/>
      <c r="J414" s="744"/>
    </row>
    <row r="415" spans="1:10" ht="12.75" customHeight="1" x14ac:dyDescent="0.2">
      <c r="A415" s="742"/>
      <c r="B415" s="743"/>
      <c r="C415" s="743"/>
      <c r="D415" s="743"/>
      <c r="E415" s="743"/>
      <c r="F415" s="743"/>
      <c r="G415" s="743"/>
      <c r="H415" s="743"/>
      <c r="I415" s="743"/>
      <c r="J415" s="744"/>
    </row>
    <row r="416" spans="1:10" ht="12.75" customHeight="1" x14ac:dyDescent="0.2">
      <c r="A416" s="742"/>
      <c r="B416" s="743"/>
      <c r="C416" s="743"/>
      <c r="D416" s="743"/>
      <c r="E416" s="743"/>
      <c r="F416" s="743"/>
      <c r="G416" s="743"/>
      <c r="H416" s="743"/>
      <c r="I416" s="743"/>
      <c r="J416" s="744"/>
    </row>
    <row r="417" spans="1:10" ht="12.75" customHeight="1" x14ac:dyDescent="0.2">
      <c r="A417" s="742"/>
      <c r="B417" s="743"/>
      <c r="C417" s="743"/>
      <c r="D417" s="743"/>
      <c r="E417" s="743"/>
      <c r="F417" s="743"/>
      <c r="G417" s="743"/>
      <c r="H417" s="743"/>
      <c r="I417" s="743"/>
      <c r="J417" s="744"/>
    </row>
    <row r="418" spans="1:10" ht="12.75" customHeight="1" x14ac:dyDescent="0.2">
      <c r="A418" s="742"/>
      <c r="B418" s="743"/>
      <c r="C418" s="743"/>
      <c r="D418" s="743"/>
      <c r="E418" s="743"/>
      <c r="F418" s="743"/>
      <c r="G418" s="743"/>
      <c r="H418" s="743"/>
      <c r="I418" s="743"/>
      <c r="J418" s="744"/>
    </row>
    <row r="419" spans="1:10" ht="12.75" customHeight="1" thickBot="1" x14ac:dyDescent="0.25">
      <c r="A419" s="748"/>
      <c r="B419" s="749"/>
      <c r="C419" s="749"/>
      <c r="D419" s="749"/>
      <c r="E419" s="749"/>
      <c r="F419" s="749"/>
      <c r="G419" s="749"/>
      <c r="H419" s="749"/>
      <c r="I419" s="749"/>
      <c r="J419" s="750"/>
    </row>
    <row r="420" spans="1:10" ht="12.75" customHeight="1" thickTop="1" x14ac:dyDescent="0.2"/>
  </sheetData>
  <sheetProtection password="E686" sheet="1" formatRows="0"/>
  <mergeCells count="53">
    <mergeCell ref="A1:J2"/>
    <mergeCell ref="A3:J5"/>
    <mergeCell ref="A12:J12"/>
    <mergeCell ref="A44:J44"/>
    <mergeCell ref="A45:E45"/>
    <mergeCell ref="A6:J10"/>
    <mergeCell ref="A14:J17"/>
    <mergeCell ref="F45:J45"/>
    <mergeCell ref="A86:J86"/>
    <mergeCell ref="A87:E87"/>
    <mergeCell ref="F87:J87"/>
    <mergeCell ref="A88:J91"/>
    <mergeCell ref="A92:J126"/>
    <mergeCell ref="A170:J170"/>
    <mergeCell ref="A171:E171"/>
    <mergeCell ref="F171:J171"/>
    <mergeCell ref="A172:J175"/>
    <mergeCell ref="A128:J128"/>
    <mergeCell ref="A129:E129"/>
    <mergeCell ref="F129:J129"/>
    <mergeCell ref="A130:J133"/>
    <mergeCell ref="A134:J168"/>
    <mergeCell ref="A381:E381"/>
    <mergeCell ref="F381:J381"/>
    <mergeCell ref="A382:J385"/>
    <mergeCell ref="A386:J419"/>
    <mergeCell ref="A338:J338"/>
    <mergeCell ref="A339:E339"/>
    <mergeCell ref="F339:J339"/>
    <mergeCell ref="A340:J343"/>
    <mergeCell ref="A344:J378"/>
    <mergeCell ref="A380:J380"/>
    <mergeCell ref="A302:J336"/>
    <mergeCell ref="A260:J294"/>
    <mergeCell ref="A218:J252"/>
    <mergeCell ref="A176:J210"/>
    <mergeCell ref="A296:J296"/>
    <mergeCell ref="A297:E297"/>
    <mergeCell ref="F297:J297"/>
    <mergeCell ref="A256:J259"/>
    <mergeCell ref="A214:J217"/>
    <mergeCell ref="A298:J301"/>
    <mergeCell ref="A254:J254"/>
    <mergeCell ref="A255:E255"/>
    <mergeCell ref="F255:J255"/>
    <mergeCell ref="A212:J212"/>
    <mergeCell ref="A213:E213"/>
    <mergeCell ref="F213:J213"/>
    <mergeCell ref="A46:J49"/>
    <mergeCell ref="A50:J84"/>
    <mergeCell ref="A13:E13"/>
    <mergeCell ref="F13:J13"/>
    <mergeCell ref="A18:J42"/>
  </mergeCells>
  <dataValidations disablePrompts="1" count="3">
    <dataValidation type="list" allowBlank="1" showInputMessage="1" showErrorMessage="1" sqref="E18:E42 E50:E84 E386:E419 E344:E378 E302:E336 E260:E294 E218:E252 E176:E210 E134:E168 E92:E126">
      <formula1>program</formula1>
    </dataValidation>
    <dataValidation allowBlank="1" showInputMessage="1" showErrorMessage="1" promptTitle="Total Amount" prompt="Input the total amount of these funds being used to fund this individual's salary and benefits." sqref="F18:F42 F50:F84 F386:F419 F344:F378 F302:F336 F260:F294 F218:F252 F176:F210 F134:F168 F92:F126"/>
    <dataValidation type="textLength" operator="lessThan" allowBlank="1" showInputMessage="1" showErrorMessage="1" errorTitle="Too Much Text" error="Provide a brief description using no more than 100 characters here.  A more full description should be included within the narrative (tab 9)." sqref="G18:J42 G50:J84 G386:J419 G344:J378 G302:J336 G260:J294 G218:J252 G176:J210 G134:J168 G92:J126">
      <formula1>101</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217"/>
  <sheetViews>
    <sheetView topLeftCell="A184" zoomScale="115" zoomScaleNormal="115" workbookViewId="0">
      <selection activeCell="M217" sqref="M217"/>
    </sheetView>
  </sheetViews>
  <sheetFormatPr defaultColWidth="9.140625" defaultRowHeight="12.75" x14ac:dyDescent="0.2"/>
  <cols>
    <col min="1" max="10" width="15.7109375" style="1" customWidth="1"/>
    <col min="11" max="11" width="20.5703125" style="1" customWidth="1"/>
    <col min="12" max="15" width="9.140625" style="1" customWidth="1"/>
    <col min="16" max="16" width="23.5703125" style="1" customWidth="1"/>
    <col min="17" max="17" width="17" style="1" customWidth="1"/>
    <col min="18" max="18" width="13.5703125" style="1" bestFit="1" customWidth="1"/>
    <col min="19" max="19" width="15.5703125" style="1" customWidth="1"/>
    <col min="20" max="20" width="13.5703125" style="1" bestFit="1" customWidth="1"/>
    <col min="21" max="16384" width="9.140625" style="1"/>
  </cols>
  <sheetData>
    <row r="1" spans="1:14" x14ac:dyDescent="0.2">
      <c r="A1" s="968" t="s">
        <v>191</v>
      </c>
      <c r="B1" s="969"/>
      <c r="C1" s="969"/>
      <c r="D1" s="969"/>
      <c r="E1" s="969"/>
      <c r="F1" s="969"/>
      <c r="G1" s="969"/>
      <c r="H1" s="969"/>
      <c r="I1" s="969"/>
      <c r="J1" s="969"/>
      <c r="K1" s="970"/>
    </row>
    <row r="2" spans="1:14" x14ac:dyDescent="0.2">
      <c r="A2" s="971"/>
      <c r="B2" s="577"/>
      <c r="C2" s="577"/>
      <c r="D2" s="577"/>
      <c r="E2" s="577"/>
      <c r="F2" s="577"/>
      <c r="G2" s="577"/>
      <c r="H2" s="577"/>
      <c r="I2" s="577"/>
      <c r="J2" s="577"/>
      <c r="K2" s="972"/>
    </row>
    <row r="3" spans="1:14" ht="12.75" customHeight="1" x14ac:dyDescent="0.2">
      <c r="A3" s="925" t="s">
        <v>509</v>
      </c>
      <c r="B3" s="674"/>
      <c r="C3" s="674"/>
      <c r="D3" s="674"/>
      <c r="E3" s="674"/>
      <c r="F3" s="674"/>
      <c r="G3" s="674"/>
      <c r="H3" s="674"/>
      <c r="I3" s="674"/>
      <c r="J3" s="674"/>
      <c r="K3" s="926"/>
    </row>
    <row r="4" spans="1:14" x14ac:dyDescent="0.2">
      <c r="A4" s="929"/>
      <c r="B4" s="677"/>
      <c r="C4" s="677"/>
      <c r="D4" s="677"/>
      <c r="E4" s="677"/>
      <c r="F4" s="677"/>
      <c r="G4" s="677"/>
      <c r="H4" s="677"/>
      <c r="I4" s="677"/>
      <c r="J4" s="677"/>
      <c r="K4" s="930"/>
    </row>
    <row r="5" spans="1:14" ht="18" customHeight="1" x14ac:dyDescent="0.2">
      <c r="A5" s="814" t="s">
        <v>40</v>
      </c>
      <c r="B5" s="814"/>
      <c r="C5" s="814"/>
      <c r="D5" s="814"/>
      <c r="E5" s="814"/>
      <c r="F5" s="814"/>
      <c r="G5" s="814"/>
      <c r="H5" s="814"/>
      <c r="I5" s="814"/>
      <c r="J5" s="814"/>
      <c r="K5" s="814"/>
    </row>
    <row r="6" spans="1:14" ht="18" customHeight="1" x14ac:dyDescent="0.2">
      <c r="A6" s="814"/>
      <c r="B6" s="814"/>
      <c r="C6" s="814"/>
      <c r="D6" s="814"/>
      <c r="E6" s="814"/>
      <c r="F6" s="814"/>
      <c r="G6" s="814"/>
      <c r="H6" s="814"/>
      <c r="I6" s="814"/>
      <c r="J6" s="814"/>
      <c r="K6" s="814"/>
    </row>
    <row r="7" spans="1:14" ht="15" customHeight="1" x14ac:dyDescent="0.2">
      <c r="A7" s="804" t="s">
        <v>41</v>
      </c>
      <c r="B7" s="793"/>
      <c r="C7" s="800" t="s">
        <v>42</v>
      </c>
      <c r="D7" s="800" t="s">
        <v>140</v>
      </c>
      <c r="E7" s="800" t="s">
        <v>139</v>
      </c>
      <c r="F7" s="816" t="s">
        <v>102</v>
      </c>
      <c r="G7" s="803" t="s">
        <v>103</v>
      </c>
      <c r="H7" s="804" t="s">
        <v>48</v>
      </c>
      <c r="I7" s="792"/>
      <c r="J7" s="792"/>
      <c r="K7" s="793"/>
    </row>
    <row r="8" spans="1:14" ht="15" customHeight="1" x14ac:dyDescent="0.2">
      <c r="A8" s="806"/>
      <c r="B8" s="796"/>
      <c r="C8" s="801"/>
      <c r="D8" s="801"/>
      <c r="E8" s="801"/>
      <c r="F8" s="817"/>
      <c r="G8" s="803"/>
      <c r="H8" s="806"/>
      <c r="I8" s="795"/>
      <c r="J8" s="795"/>
      <c r="K8" s="796"/>
    </row>
    <row r="9" spans="1:14" ht="15" customHeight="1" x14ac:dyDescent="0.2">
      <c r="A9" s="806"/>
      <c r="B9" s="796"/>
      <c r="C9" s="801"/>
      <c r="D9" s="801"/>
      <c r="E9" s="801"/>
      <c r="F9" s="817"/>
      <c r="G9" s="803"/>
      <c r="H9" s="806"/>
      <c r="I9" s="795"/>
      <c r="J9" s="795"/>
      <c r="K9" s="796"/>
    </row>
    <row r="10" spans="1:14" ht="15" customHeight="1" x14ac:dyDescent="0.2">
      <c r="A10" s="806"/>
      <c r="B10" s="796"/>
      <c r="C10" s="801"/>
      <c r="D10" s="801"/>
      <c r="E10" s="801"/>
      <c r="F10" s="817"/>
      <c r="G10" s="803"/>
      <c r="H10" s="806"/>
      <c r="I10" s="795"/>
      <c r="J10" s="795"/>
      <c r="K10" s="796"/>
    </row>
    <row r="11" spans="1:14" ht="15" customHeight="1" x14ac:dyDescent="0.2">
      <c r="A11" s="806"/>
      <c r="B11" s="796"/>
      <c r="C11" s="801"/>
      <c r="D11" s="801"/>
      <c r="E11" s="801"/>
      <c r="F11" s="817"/>
      <c r="G11" s="803"/>
      <c r="H11" s="806"/>
      <c r="I11" s="795"/>
      <c r="J11" s="795"/>
      <c r="K11" s="796"/>
    </row>
    <row r="12" spans="1:14" ht="15" customHeight="1" x14ac:dyDescent="0.2">
      <c r="A12" s="806"/>
      <c r="B12" s="796"/>
      <c r="C12" s="801"/>
      <c r="D12" s="801"/>
      <c r="E12" s="801"/>
      <c r="F12" s="817"/>
      <c r="G12" s="803"/>
      <c r="H12" s="806"/>
      <c r="I12" s="795"/>
      <c r="J12" s="795"/>
      <c r="K12" s="796"/>
    </row>
    <row r="13" spans="1:14" ht="14.25" customHeight="1" x14ac:dyDescent="0.2">
      <c r="A13" s="808"/>
      <c r="B13" s="799"/>
      <c r="C13" s="802"/>
      <c r="D13" s="802"/>
      <c r="E13" s="802"/>
      <c r="F13" s="818"/>
      <c r="G13" s="803"/>
      <c r="H13" s="808"/>
      <c r="I13" s="798"/>
      <c r="J13" s="798"/>
      <c r="K13" s="799"/>
    </row>
    <row r="14" spans="1:14" ht="15" customHeight="1" x14ac:dyDescent="0.2">
      <c r="A14" s="881" t="s">
        <v>885</v>
      </c>
      <c r="B14" s="883"/>
      <c r="C14" s="196" t="s">
        <v>831</v>
      </c>
      <c r="D14" s="27" t="s">
        <v>51</v>
      </c>
      <c r="E14" s="27" t="s">
        <v>109</v>
      </c>
      <c r="F14" s="28">
        <v>1</v>
      </c>
      <c r="G14" s="252">
        <v>94639</v>
      </c>
      <c r="H14" s="881" t="s">
        <v>832</v>
      </c>
      <c r="I14" s="882"/>
      <c r="J14" s="882"/>
      <c r="K14" s="883"/>
      <c r="L14" s="1">
        <f t="shared" ref="L14:L40" si="0">COUNTBLANK(C14:K14)</f>
        <v>3</v>
      </c>
      <c r="M14" s="1" t="str">
        <f t="shared" ref="M14:M40" si="1">IF(AND(A14&lt;&gt;"",L14&gt;3),"No","Yes")</f>
        <v>Yes</v>
      </c>
      <c r="N14" s="1" t="str">
        <f t="shared" ref="N14:N40" si="2">CONCATENATE(D14,E14)</f>
        <v>Support ServicesProf. Development</v>
      </c>
    </row>
    <row r="15" spans="1:14" ht="15" customHeight="1" x14ac:dyDescent="0.2">
      <c r="A15" s="881" t="s">
        <v>886</v>
      </c>
      <c r="B15" s="883"/>
      <c r="C15" s="196" t="s">
        <v>831</v>
      </c>
      <c r="D15" s="27" t="s">
        <v>51</v>
      </c>
      <c r="E15" s="27" t="s">
        <v>109</v>
      </c>
      <c r="F15" s="28">
        <v>1</v>
      </c>
      <c r="G15" s="252">
        <v>92812</v>
      </c>
      <c r="H15" s="881" t="s">
        <v>832</v>
      </c>
      <c r="I15" s="882"/>
      <c r="J15" s="882"/>
      <c r="K15" s="883"/>
      <c r="L15" s="1">
        <f t="shared" si="0"/>
        <v>3</v>
      </c>
      <c r="M15" s="1" t="str">
        <f t="shared" si="1"/>
        <v>Yes</v>
      </c>
      <c r="N15" s="1" t="str">
        <f t="shared" si="2"/>
        <v>Support ServicesProf. Development</v>
      </c>
    </row>
    <row r="16" spans="1:14" ht="15" customHeight="1" x14ac:dyDescent="0.2">
      <c r="A16" s="881" t="s">
        <v>890</v>
      </c>
      <c r="B16" s="883"/>
      <c r="C16" s="196" t="s">
        <v>831</v>
      </c>
      <c r="D16" s="27" t="s">
        <v>51</v>
      </c>
      <c r="E16" s="27" t="s">
        <v>109</v>
      </c>
      <c r="F16" s="28">
        <v>1</v>
      </c>
      <c r="G16" s="252">
        <v>95409</v>
      </c>
      <c r="H16" s="881" t="s">
        <v>832</v>
      </c>
      <c r="I16" s="882"/>
      <c r="J16" s="882"/>
      <c r="K16" s="883"/>
      <c r="L16" s="1">
        <f t="shared" si="0"/>
        <v>3</v>
      </c>
      <c r="M16" s="1" t="str">
        <f t="shared" si="1"/>
        <v>Yes</v>
      </c>
      <c r="N16" s="1" t="str">
        <f t="shared" si="2"/>
        <v>Support ServicesProf. Development</v>
      </c>
    </row>
    <row r="17" spans="1:17" ht="15" customHeight="1" x14ac:dyDescent="0.2">
      <c r="A17" s="881" t="s">
        <v>887</v>
      </c>
      <c r="B17" s="883"/>
      <c r="C17" s="196" t="s">
        <v>831</v>
      </c>
      <c r="D17" s="27" t="s">
        <v>51</v>
      </c>
      <c r="E17" s="27" t="s">
        <v>109</v>
      </c>
      <c r="F17" s="28">
        <v>1</v>
      </c>
      <c r="G17" s="252">
        <v>106057</v>
      </c>
      <c r="H17" s="881" t="s">
        <v>832</v>
      </c>
      <c r="I17" s="882"/>
      <c r="J17" s="882"/>
      <c r="K17" s="883"/>
      <c r="L17" s="1">
        <f t="shared" si="0"/>
        <v>3</v>
      </c>
      <c r="M17" s="1" t="str">
        <f t="shared" si="1"/>
        <v>Yes</v>
      </c>
      <c r="N17" s="1" t="str">
        <f t="shared" si="2"/>
        <v>Support ServicesProf. Development</v>
      </c>
    </row>
    <row r="18" spans="1:17" ht="15" customHeight="1" x14ac:dyDescent="0.2">
      <c r="A18" s="881" t="s">
        <v>889</v>
      </c>
      <c r="B18" s="883"/>
      <c r="C18" s="196" t="s">
        <v>831</v>
      </c>
      <c r="D18" s="27" t="s">
        <v>51</v>
      </c>
      <c r="E18" s="27" t="s">
        <v>109</v>
      </c>
      <c r="F18" s="28">
        <v>1</v>
      </c>
      <c r="G18" s="252">
        <v>91784</v>
      </c>
      <c r="H18" s="881" t="s">
        <v>832</v>
      </c>
      <c r="I18" s="882"/>
      <c r="J18" s="882"/>
      <c r="K18" s="883"/>
      <c r="L18" s="1">
        <f t="shared" si="0"/>
        <v>3</v>
      </c>
      <c r="M18" s="1" t="str">
        <f t="shared" si="1"/>
        <v>Yes</v>
      </c>
      <c r="N18" s="1" t="str">
        <f t="shared" si="2"/>
        <v>Support ServicesProf. Development</v>
      </c>
    </row>
    <row r="19" spans="1:17" ht="15" customHeight="1" x14ac:dyDescent="0.2">
      <c r="A19" s="881" t="s">
        <v>891</v>
      </c>
      <c r="B19" s="883"/>
      <c r="C19" s="196" t="s">
        <v>831</v>
      </c>
      <c r="D19" s="27" t="s">
        <v>51</v>
      </c>
      <c r="E19" s="27" t="s">
        <v>109</v>
      </c>
      <c r="F19" s="28">
        <v>1</v>
      </c>
      <c r="G19" s="252">
        <v>95311</v>
      </c>
      <c r="H19" s="881" t="s">
        <v>832</v>
      </c>
      <c r="I19" s="882"/>
      <c r="J19" s="882"/>
      <c r="K19" s="883"/>
      <c r="L19" s="1">
        <f t="shared" si="0"/>
        <v>3</v>
      </c>
      <c r="M19" s="1" t="str">
        <f t="shared" si="1"/>
        <v>Yes</v>
      </c>
      <c r="N19" s="1" t="str">
        <f t="shared" si="2"/>
        <v>Support ServicesProf. Development</v>
      </c>
    </row>
    <row r="20" spans="1:17" ht="15" customHeight="1" x14ac:dyDescent="0.2">
      <c r="A20" s="881" t="s">
        <v>892</v>
      </c>
      <c r="B20" s="883"/>
      <c r="C20" s="196" t="s">
        <v>831</v>
      </c>
      <c r="D20" s="27" t="s">
        <v>51</v>
      </c>
      <c r="E20" s="27" t="s">
        <v>109</v>
      </c>
      <c r="F20" s="28">
        <v>1</v>
      </c>
      <c r="G20" s="252">
        <v>103596</v>
      </c>
      <c r="H20" s="881" t="s">
        <v>832</v>
      </c>
      <c r="I20" s="882"/>
      <c r="J20" s="882"/>
      <c r="K20" s="883"/>
      <c r="L20" s="1">
        <f t="shared" si="0"/>
        <v>3</v>
      </c>
      <c r="M20" s="1" t="str">
        <f t="shared" si="1"/>
        <v>Yes</v>
      </c>
      <c r="N20" s="1" t="str">
        <f t="shared" si="2"/>
        <v>Support ServicesProf. Development</v>
      </c>
      <c r="P20" s="218"/>
    </row>
    <row r="21" spans="1:17" ht="15" customHeight="1" x14ac:dyDescent="0.2">
      <c r="A21" s="881" t="s">
        <v>888</v>
      </c>
      <c r="B21" s="883"/>
      <c r="C21" s="196" t="s">
        <v>831</v>
      </c>
      <c r="D21" s="27" t="s">
        <v>51</v>
      </c>
      <c r="E21" s="27" t="s">
        <v>109</v>
      </c>
      <c r="F21" s="28">
        <v>1</v>
      </c>
      <c r="G21" s="252">
        <v>100348</v>
      </c>
      <c r="H21" s="881" t="s">
        <v>832</v>
      </c>
      <c r="I21" s="882"/>
      <c r="J21" s="882"/>
      <c r="K21" s="883"/>
      <c r="L21" s="1">
        <f t="shared" si="0"/>
        <v>3</v>
      </c>
      <c r="M21" s="1" t="str">
        <f t="shared" si="1"/>
        <v>Yes</v>
      </c>
      <c r="N21" s="1" t="str">
        <f t="shared" si="2"/>
        <v>Support ServicesProf. Development</v>
      </c>
    </row>
    <row r="22" spans="1:17" ht="15" customHeight="1" x14ac:dyDescent="0.2">
      <c r="A22" s="881" t="s">
        <v>893</v>
      </c>
      <c r="B22" s="883"/>
      <c r="C22" s="196" t="s">
        <v>831</v>
      </c>
      <c r="D22" s="27" t="s">
        <v>51</v>
      </c>
      <c r="E22" s="27" t="s">
        <v>109</v>
      </c>
      <c r="F22" s="28">
        <v>1</v>
      </c>
      <c r="G22" s="252">
        <v>92922</v>
      </c>
      <c r="H22" s="881" t="s">
        <v>916</v>
      </c>
      <c r="I22" s="882"/>
      <c r="J22" s="882"/>
      <c r="K22" s="883"/>
      <c r="L22" s="1">
        <f>COUNTBLANK(C22:K22)</f>
        <v>3</v>
      </c>
      <c r="M22" s="1" t="str">
        <f>IF(AND(A22&lt;&gt;"",L22&gt;3),"No","Yes")</f>
        <v>Yes</v>
      </c>
      <c r="N22" s="1" t="str">
        <f>CONCATENATE(D22,E22)</f>
        <v>Support ServicesProf. Development</v>
      </c>
    </row>
    <row r="23" spans="1:17" s="308" customFormat="1" ht="15" customHeight="1" x14ac:dyDescent="0.2">
      <c r="A23" s="965" t="s">
        <v>1045</v>
      </c>
      <c r="B23" s="966"/>
      <c r="C23" s="302" t="s">
        <v>831</v>
      </c>
      <c r="D23" s="302" t="s">
        <v>51</v>
      </c>
      <c r="E23" s="302" t="s">
        <v>109</v>
      </c>
      <c r="F23" s="303">
        <v>1</v>
      </c>
      <c r="G23" s="310">
        <v>78000</v>
      </c>
      <c r="H23" s="965" t="s">
        <v>916</v>
      </c>
      <c r="I23" s="967"/>
      <c r="J23" s="967"/>
      <c r="K23" s="966"/>
      <c r="L23" s="308">
        <f>COUNTBLANK(C23:K23)</f>
        <v>3</v>
      </c>
      <c r="M23" s="308" t="str">
        <f>IF(AND(A23&lt;&gt;"",L23&gt;3),"No","Yes")</f>
        <v>Yes</v>
      </c>
      <c r="N23" s="308" t="str">
        <f>CONCATENATE(D23,E23)</f>
        <v>Support ServicesProf. Development</v>
      </c>
      <c r="O23" s="312">
        <f>78000-G23</f>
        <v>0</v>
      </c>
    </row>
    <row r="24" spans="1:17" s="61" customFormat="1" ht="15" customHeight="1" x14ac:dyDescent="0.2">
      <c r="A24" s="907" t="s">
        <v>1044</v>
      </c>
      <c r="B24" s="908"/>
      <c r="C24" s="194" t="s">
        <v>831</v>
      </c>
      <c r="D24" s="194" t="s">
        <v>51</v>
      </c>
      <c r="E24" s="194" t="s">
        <v>109</v>
      </c>
      <c r="F24" s="250">
        <v>1</v>
      </c>
      <c r="G24" s="252">
        <v>114620</v>
      </c>
      <c r="H24" s="907" t="s">
        <v>916</v>
      </c>
      <c r="I24" s="909"/>
      <c r="J24" s="909"/>
      <c r="K24" s="908"/>
      <c r="L24" s="61">
        <f>COUNTBLANK(C24:K24)</f>
        <v>3</v>
      </c>
      <c r="M24" s="61" t="str">
        <f>IF(AND(A24&lt;&gt;"",L24&gt;3),"No","Yes")</f>
        <v>Yes</v>
      </c>
      <c r="N24" s="61" t="str">
        <f>CONCATENATE(D24,E24)</f>
        <v>Support ServicesProf. Development</v>
      </c>
    </row>
    <row r="25" spans="1:17" ht="15" customHeight="1" x14ac:dyDescent="0.2">
      <c r="A25" s="212"/>
      <c r="B25" s="213"/>
      <c r="C25" s="196"/>
      <c r="D25" s="27"/>
      <c r="E25" s="27"/>
      <c r="F25" s="28"/>
      <c r="G25" s="197"/>
      <c r="H25" s="212"/>
      <c r="I25" s="214"/>
      <c r="J25" s="214"/>
      <c r="K25" s="213"/>
    </row>
    <row r="26" spans="1:17" ht="15" customHeight="1" x14ac:dyDescent="0.2">
      <c r="A26" s="771" t="s">
        <v>865</v>
      </c>
      <c r="B26" s="775"/>
      <c r="C26" s="27" t="s">
        <v>879</v>
      </c>
      <c r="D26" s="27" t="s">
        <v>51</v>
      </c>
      <c r="E26" s="27" t="s">
        <v>109</v>
      </c>
      <c r="F26" s="28">
        <v>1</v>
      </c>
      <c r="G26" s="252">
        <v>156152</v>
      </c>
      <c r="H26" s="771" t="s">
        <v>860</v>
      </c>
      <c r="I26" s="772"/>
      <c r="J26" s="772"/>
      <c r="K26" s="775"/>
      <c r="L26" s="1">
        <f>COUNTBLANK(C43:K43)</f>
        <v>3</v>
      </c>
      <c r="M26" s="1" t="str">
        <f>IF(AND(A43&lt;&gt;"",L26&gt;3),"No","Yes")</f>
        <v>Yes</v>
      </c>
      <c r="N26" s="1" t="str">
        <f>CONCATENATE(D43,E43)</f>
        <v>Support ServicesProf. Development</v>
      </c>
    </row>
    <row r="27" spans="1:17" ht="15" customHeight="1" x14ac:dyDescent="0.2">
      <c r="A27" s="771" t="s">
        <v>861</v>
      </c>
      <c r="B27" s="775"/>
      <c r="C27" s="27" t="s">
        <v>879</v>
      </c>
      <c r="D27" s="27" t="s">
        <v>51</v>
      </c>
      <c r="E27" s="27" t="s">
        <v>109</v>
      </c>
      <c r="F27" s="28">
        <v>1</v>
      </c>
      <c r="G27" s="252">
        <v>116995</v>
      </c>
      <c r="H27" s="771" t="s">
        <v>860</v>
      </c>
      <c r="I27" s="772"/>
      <c r="J27" s="772"/>
      <c r="K27" s="775"/>
      <c r="L27" s="1">
        <f t="shared" si="0"/>
        <v>3</v>
      </c>
      <c r="M27" s="1" t="str">
        <f t="shared" si="1"/>
        <v>Yes</v>
      </c>
      <c r="N27" s="1" t="str">
        <f t="shared" si="2"/>
        <v>Support ServicesProf. Development</v>
      </c>
    </row>
    <row r="28" spans="1:17" ht="15" customHeight="1" x14ac:dyDescent="0.2">
      <c r="A28" s="771" t="s">
        <v>866</v>
      </c>
      <c r="B28" s="775"/>
      <c r="C28" s="27" t="s">
        <v>862</v>
      </c>
      <c r="D28" s="27" t="s">
        <v>51</v>
      </c>
      <c r="E28" s="27" t="s">
        <v>109</v>
      </c>
      <c r="F28" s="28">
        <v>1</v>
      </c>
      <c r="G28" s="252">
        <v>134965</v>
      </c>
      <c r="H28" s="771" t="s">
        <v>863</v>
      </c>
      <c r="I28" s="772"/>
      <c r="J28" s="772"/>
      <c r="K28" s="775"/>
      <c r="L28" s="1">
        <f t="shared" si="0"/>
        <v>3</v>
      </c>
      <c r="M28" s="1" t="str">
        <f t="shared" si="1"/>
        <v>Yes</v>
      </c>
      <c r="N28" s="1" t="str">
        <f t="shared" si="2"/>
        <v>Support ServicesProf. Development</v>
      </c>
    </row>
    <row r="29" spans="1:17" ht="15" customHeight="1" x14ac:dyDescent="0.2">
      <c r="A29" s="771" t="s">
        <v>867</v>
      </c>
      <c r="B29" s="775"/>
      <c r="C29" s="27" t="s">
        <v>862</v>
      </c>
      <c r="D29" s="27" t="s">
        <v>51</v>
      </c>
      <c r="E29" s="27" t="s">
        <v>109</v>
      </c>
      <c r="F29" s="28">
        <v>1</v>
      </c>
      <c r="G29" s="252">
        <v>134956</v>
      </c>
      <c r="H29" s="771" t="s">
        <v>864</v>
      </c>
      <c r="I29" s="772"/>
      <c r="J29" s="772"/>
      <c r="K29" s="775"/>
      <c r="L29" s="1">
        <f t="shared" si="0"/>
        <v>3</v>
      </c>
      <c r="M29" s="1" t="str">
        <f t="shared" si="1"/>
        <v>Yes</v>
      </c>
      <c r="N29" s="1" t="str">
        <f t="shared" si="2"/>
        <v>Support ServicesProf. Development</v>
      </c>
    </row>
    <row r="30" spans="1:17" ht="15" customHeight="1" x14ac:dyDescent="0.2">
      <c r="A30" s="771" t="s">
        <v>869</v>
      </c>
      <c r="B30" s="775"/>
      <c r="C30" s="27" t="s">
        <v>868</v>
      </c>
      <c r="D30" s="27" t="s">
        <v>51</v>
      </c>
      <c r="E30" s="27" t="s">
        <v>109</v>
      </c>
      <c r="F30" s="28">
        <v>1</v>
      </c>
      <c r="G30" s="252">
        <v>59873</v>
      </c>
      <c r="H30" s="771" t="s">
        <v>894</v>
      </c>
      <c r="I30" s="772"/>
      <c r="J30" s="772"/>
      <c r="K30" s="775"/>
      <c r="L30" s="1">
        <f t="shared" si="0"/>
        <v>3</v>
      </c>
      <c r="M30" s="1" t="str">
        <f t="shared" si="1"/>
        <v>Yes</v>
      </c>
      <c r="N30" s="1" t="str">
        <f t="shared" si="2"/>
        <v>Support ServicesProf. Development</v>
      </c>
      <c r="Q30" s="218"/>
    </row>
    <row r="31" spans="1:17" ht="15" customHeight="1" x14ac:dyDescent="0.2">
      <c r="A31" s="771" t="s">
        <v>871</v>
      </c>
      <c r="B31" s="775"/>
      <c r="C31" s="27" t="s">
        <v>872</v>
      </c>
      <c r="D31" s="27" t="s">
        <v>51</v>
      </c>
      <c r="E31" s="27" t="s">
        <v>109</v>
      </c>
      <c r="F31" s="28">
        <v>1</v>
      </c>
      <c r="G31" s="252">
        <v>126867</v>
      </c>
      <c r="H31" s="771" t="s">
        <v>870</v>
      </c>
      <c r="I31" s="772"/>
      <c r="J31" s="772"/>
      <c r="K31" s="775"/>
      <c r="L31" s="1">
        <f t="shared" si="0"/>
        <v>3</v>
      </c>
      <c r="M31" s="1" t="str">
        <f t="shared" si="1"/>
        <v>Yes</v>
      </c>
      <c r="N31" s="1" t="str">
        <f t="shared" si="2"/>
        <v>Support ServicesProf. Development</v>
      </c>
    </row>
    <row r="32" spans="1:17" s="308" customFormat="1" ht="15" customHeight="1" x14ac:dyDescent="0.2">
      <c r="A32" s="901" t="s">
        <v>1160</v>
      </c>
      <c r="B32" s="903"/>
      <c r="C32" s="302" t="s">
        <v>873</v>
      </c>
      <c r="D32" s="302" t="s">
        <v>51</v>
      </c>
      <c r="E32" s="302" t="s">
        <v>109</v>
      </c>
      <c r="F32" s="303">
        <v>0.5</v>
      </c>
      <c r="G32" s="310">
        <f>25391-6936</f>
        <v>18455</v>
      </c>
      <c r="H32" s="901" t="s">
        <v>874</v>
      </c>
      <c r="I32" s="902"/>
      <c r="J32" s="902"/>
      <c r="K32" s="903"/>
      <c r="L32" s="308">
        <f t="shared" si="0"/>
        <v>3</v>
      </c>
      <c r="M32" s="308" t="str">
        <f t="shared" si="1"/>
        <v>Yes</v>
      </c>
      <c r="N32" s="308" t="str">
        <f t="shared" si="2"/>
        <v>Support ServicesProf. Development</v>
      </c>
    </row>
    <row r="33" spans="1:19" s="61" customFormat="1" ht="15" customHeight="1" x14ac:dyDescent="0.2">
      <c r="A33" s="884" t="s">
        <v>1043</v>
      </c>
      <c r="B33" s="886"/>
      <c r="C33" s="194" t="s">
        <v>880</v>
      </c>
      <c r="D33" s="194" t="s">
        <v>51</v>
      </c>
      <c r="E33" s="194" t="s">
        <v>109</v>
      </c>
      <c r="F33" s="250">
        <v>1</v>
      </c>
      <c r="G33" s="252">
        <v>90563</v>
      </c>
      <c r="H33" s="884" t="s">
        <v>860</v>
      </c>
      <c r="I33" s="885"/>
      <c r="J33" s="885"/>
      <c r="K33" s="886"/>
      <c r="L33" s="61">
        <f t="shared" si="0"/>
        <v>3</v>
      </c>
      <c r="M33" s="61" t="str">
        <f t="shared" si="1"/>
        <v>Yes</v>
      </c>
      <c r="N33" s="61" t="str">
        <f t="shared" si="2"/>
        <v>Support ServicesProf. Development</v>
      </c>
    </row>
    <row r="34" spans="1:19" ht="15" customHeight="1" x14ac:dyDescent="0.2">
      <c r="A34" s="771" t="s">
        <v>875</v>
      </c>
      <c r="B34" s="775"/>
      <c r="C34" s="27" t="s">
        <v>876</v>
      </c>
      <c r="D34" s="27" t="s">
        <v>51</v>
      </c>
      <c r="E34" s="27" t="s">
        <v>109</v>
      </c>
      <c r="F34" s="28">
        <v>1</v>
      </c>
      <c r="G34" s="252">
        <v>95636</v>
      </c>
      <c r="H34" s="771" t="s">
        <v>860</v>
      </c>
      <c r="I34" s="772"/>
      <c r="J34" s="772"/>
      <c r="K34" s="775"/>
      <c r="L34" s="1">
        <f t="shared" si="0"/>
        <v>3</v>
      </c>
      <c r="M34" s="1" t="str">
        <f t="shared" si="1"/>
        <v>Yes</v>
      </c>
      <c r="N34" s="1" t="str">
        <f t="shared" si="2"/>
        <v>Support ServicesProf. Development</v>
      </c>
    </row>
    <row r="35" spans="1:19" ht="15" customHeight="1" x14ac:dyDescent="0.2">
      <c r="A35" s="771" t="s">
        <v>881</v>
      </c>
      <c r="B35" s="775"/>
      <c r="C35" s="27" t="s">
        <v>877</v>
      </c>
      <c r="D35" s="27" t="s">
        <v>51</v>
      </c>
      <c r="E35" s="27" t="s">
        <v>109</v>
      </c>
      <c r="F35" s="28">
        <v>1</v>
      </c>
      <c r="G35" s="252">
        <v>93139</v>
      </c>
      <c r="H35" s="771" t="s">
        <v>878</v>
      </c>
      <c r="I35" s="772"/>
      <c r="J35" s="772"/>
      <c r="K35" s="775"/>
      <c r="L35" s="1">
        <f t="shared" si="0"/>
        <v>3</v>
      </c>
      <c r="M35" s="1" t="str">
        <f t="shared" si="1"/>
        <v>Yes</v>
      </c>
      <c r="N35" s="1" t="str">
        <f t="shared" si="2"/>
        <v>Support ServicesProf. Development</v>
      </c>
    </row>
    <row r="36" spans="1:19" ht="15" customHeight="1" x14ac:dyDescent="0.2">
      <c r="A36" s="771" t="s">
        <v>884</v>
      </c>
      <c r="B36" s="775"/>
      <c r="C36" s="27" t="s">
        <v>882</v>
      </c>
      <c r="D36" s="27" t="s">
        <v>51</v>
      </c>
      <c r="E36" s="27" t="s">
        <v>109</v>
      </c>
      <c r="F36" s="28">
        <v>1</v>
      </c>
      <c r="G36" s="252">
        <v>85413</v>
      </c>
      <c r="H36" s="771" t="s">
        <v>883</v>
      </c>
      <c r="I36" s="772"/>
      <c r="J36" s="772"/>
      <c r="K36" s="775"/>
      <c r="L36" s="1">
        <f t="shared" si="0"/>
        <v>3</v>
      </c>
      <c r="M36" s="1" t="str">
        <f t="shared" si="1"/>
        <v>Yes</v>
      </c>
      <c r="N36" s="1" t="str">
        <f t="shared" si="2"/>
        <v>Support ServicesProf. Development</v>
      </c>
    </row>
    <row r="37" spans="1:19" ht="15" customHeight="1" x14ac:dyDescent="0.2">
      <c r="A37" s="771" t="s">
        <v>896</v>
      </c>
      <c r="B37" s="775"/>
      <c r="C37" s="27" t="s">
        <v>897</v>
      </c>
      <c r="D37" s="27" t="s">
        <v>51</v>
      </c>
      <c r="E37" s="27" t="s">
        <v>109</v>
      </c>
      <c r="F37" s="28">
        <v>1</v>
      </c>
      <c r="G37" s="252">
        <v>116612</v>
      </c>
      <c r="H37" s="771" t="s">
        <v>921</v>
      </c>
      <c r="I37" s="772"/>
      <c r="J37" s="772"/>
      <c r="K37" s="775"/>
      <c r="L37" s="1">
        <f t="shared" si="0"/>
        <v>3</v>
      </c>
      <c r="M37" s="1" t="str">
        <f t="shared" si="1"/>
        <v>Yes</v>
      </c>
      <c r="N37" s="1" t="str">
        <f t="shared" si="2"/>
        <v>Support ServicesProf. Development</v>
      </c>
    </row>
    <row r="38" spans="1:19" ht="15" customHeight="1" x14ac:dyDescent="0.2">
      <c r="A38" s="771" t="s">
        <v>898</v>
      </c>
      <c r="B38" s="775"/>
      <c r="C38" s="27" t="s">
        <v>862</v>
      </c>
      <c r="D38" s="27" t="s">
        <v>51</v>
      </c>
      <c r="E38" s="27" t="s">
        <v>109</v>
      </c>
      <c r="F38" s="28">
        <v>1</v>
      </c>
      <c r="G38" s="252">
        <v>78914</v>
      </c>
      <c r="H38" s="771" t="s">
        <v>860</v>
      </c>
      <c r="I38" s="772"/>
      <c r="J38" s="772"/>
      <c r="K38" s="775"/>
      <c r="L38" s="1">
        <f t="shared" si="0"/>
        <v>3</v>
      </c>
      <c r="M38" s="1" t="str">
        <f t="shared" si="1"/>
        <v>Yes</v>
      </c>
      <c r="N38" s="1" t="str">
        <f t="shared" si="2"/>
        <v>Support ServicesProf. Development</v>
      </c>
    </row>
    <row r="39" spans="1:19" ht="15" customHeight="1" x14ac:dyDescent="0.2">
      <c r="A39" s="771" t="s">
        <v>899</v>
      </c>
      <c r="B39" s="775"/>
      <c r="C39" s="27" t="s">
        <v>900</v>
      </c>
      <c r="D39" s="27" t="s">
        <v>51</v>
      </c>
      <c r="E39" s="27" t="s">
        <v>109</v>
      </c>
      <c r="F39" s="28">
        <v>1</v>
      </c>
      <c r="G39" s="252">
        <v>78914</v>
      </c>
      <c r="H39" s="771" t="s">
        <v>860</v>
      </c>
      <c r="I39" s="772"/>
      <c r="J39" s="772"/>
      <c r="K39" s="775"/>
      <c r="L39" s="1">
        <f t="shared" si="0"/>
        <v>3</v>
      </c>
      <c r="M39" s="1" t="str">
        <f t="shared" si="1"/>
        <v>Yes</v>
      </c>
      <c r="N39" s="1" t="str">
        <f t="shared" si="2"/>
        <v>Support ServicesProf. Development</v>
      </c>
    </row>
    <row r="40" spans="1:19" ht="15" customHeight="1" x14ac:dyDescent="0.2">
      <c r="A40" s="771" t="s">
        <v>901</v>
      </c>
      <c r="B40" s="775"/>
      <c r="C40" s="27" t="s">
        <v>920</v>
      </c>
      <c r="D40" s="27" t="s">
        <v>51</v>
      </c>
      <c r="E40" s="27" t="s">
        <v>109</v>
      </c>
      <c r="F40" s="28">
        <v>1</v>
      </c>
      <c r="G40" s="252">
        <v>124318</v>
      </c>
      <c r="H40" s="771" t="s">
        <v>860</v>
      </c>
      <c r="I40" s="772"/>
      <c r="J40" s="772"/>
      <c r="K40" s="775"/>
      <c r="L40" s="1">
        <f t="shared" si="0"/>
        <v>3</v>
      </c>
      <c r="M40" s="1" t="str">
        <f t="shared" si="1"/>
        <v>Yes</v>
      </c>
      <c r="N40" s="1" t="str">
        <f t="shared" si="2"/>
        <v>Support ServicesProf. Development</v>
      </c>
    </row>
    <row r="41" spans="1:19" ht="15" customHeight="1" x14ac:dyDescent="0.2">
      <c r="A41" s="211"/>
      <c r="B41" s="210"/>
      <c r="C41" s="27"/>
      <c r="D41" s="27"/>
      <c r="E41" s="27"/>
      <c r="F41" s="28"/>
      <c r="G41" s="29"/>
      <c r="H41" s="211"/>
      <c r="I41" s="209"/>
      <c r="J41" s="209"/>
      <c r="K41" s="210"/>
      <c r="M41" s="1" t="str">
        <f>IF(AND(A41&lt;&gt;"",L41&gt;3),"No","Yes")</f>
        <v>Yes</v>
      </c>
      <c r="N41" s="1" t="str">
        <f t="shared" ref="N41:N43" si="3">CONCATENATE(D41,E41)</f>
        <v/>
      </c>
    </row>
    <row r="42" spans="1:19" ht="15" customHeight="1" x14ac:dyDescent="0.2">
      <c r="A42" s="771" t="s">
        <v>922</v>
      </c>
      <c r="B42" s="775"/>
      <c r="C42" s="27" t="s">
        <v>835</v>
      </c>
      <c r="D42" s="27" t="s">
        <v>51</v>
      </c>
      <c r="E42" s="27" t="s">
        <v>109</v>
      </c>
      <c r="F42" s="28">
        <v>14</v>
      </c>
      <c r="G42" s="29">
        <v>1103208</v>
      </c>
      <c r="H42" s="771" t="s">
        <v>954</v>
      </c>
      <c r="I42" s="772"/>
      <c r="J42" s="772"/>
      <c r="K42" s="775"/>
      <c r="L42" s="1">
        <f>COUNTBLANK(C42:K42)</f>
        <v>3</v>
      </c>
      <c r="M42" s="1" t="str">
        <f>IF(AND(A42&lt;&gt;"",L42&gt;3),"No","Yes")</f>
        <v>Yes</v>
      </c>
      <c r="N42" s="1" t="str">
        <f t="shared" si="3"/>
        <v>Support ServicesProf. Development</v>
      </c>
    </row>
    <row r="43" spans="1:19" ht="15" customHeight="1" x14ac:dyDescent="0.2">
      <c r="A43" s="771" t="s">
        <v>917</v>
      </c>
      <c r="B43" s="775"/>
      <c r="C43" s="27" t="s">
        <v>835</v>
      </c>
      <c r="D43" s="27" t="s">
        <v>51</v>
      </c>
      <c r="E43" s="27" t="s">
        <v>109</v>
      </c>
      <c r="F43" s="28">
        <v>10</v>
      </c>
      <c r="G43" s="208">
        <v>752699.08</v>
      </c>
      <c r="H43" s="771" t="s">
        <v>918</v>
      </c>
      <c r="I43" s="772"/>
      <c r="J43" s="772"/>
      <c r="K43" s="775"/>
      <c r="L43" s="1">
        <f>COUNTBLANK(C43:K43)</f>
        <v>3</v>
      </c>
      <c r="M43" s="1" t="str">
        <f>IF(AND(A43&lt;&gt;"",L43&gt;3),"No","Yes")</f>
        <v>Yes</v>
      </c>
      <c r="N43" s="1" t="str">
        <f t="shared" si="3"/>
        <v>Support ServicesProf. Development</v>
      </c>
      <c r="O43" s="221" t="s">
        <v>1053</v>
      </c>
      <c r="P43" s="221"/>
      <c r="Q43" s="221"/>
      <c r="R43" s="221"/>
      <c r="S43" s="221"/>
    </row>
    <row r="44" spans="1:19" ht="15" customHeight="1" x14ac:dyDescent="0.2">
      <c r="A44" s="820" t="s">
        <v>92</v>
      </c>
      <c r="B44" s="820"/>
      <c r="C44" s="820"/>
      <c r="D44" s="820"/>
      <c r="E44" s="34"/>
      <c r="F44" s="32">
        <f>SUM(F14:F43)</f>
        <v>49.5</v>
      </c>
      <c r="G44" s="821" t="s">
        <v>93</v>
      </c>
      <c r="H44" s="821"/>
      <c r="I44" s="821"/>
      <c r="J44" s="821"/>
      <c r="K44" s="33">
        <f>SUM(G14:G43)</f>
        <v>4433177.08</v>
      </c>
      <c r="L44" s="1">
        <f>COUNTBLANK(E43:K43)</f>
        <v>3</v>
      </c>
      <c r="M44" s="1">
        <f>COUNTIF(M14:M43,"Yes")</f>
        <v>29</v>
      </c>
      <c r="Q44" s="218">
        <v>6603991.8799999999</v>
      </c>
      <c r="R44" s="218">
        <v>838850</v>
      </c>
      <c r="S44" s="234">
        <f>Q44-R44</f>
        <v>5765141.8799999999</v>
      </c>
    </row>
    <row r="45" spans="1:19" ht="15" customHeight="1" x14ac:dyDescent="0.2">
      <c r="A45" s="895"/>
      <c r="B45" s="811"/>
      <c r="C45" s="811"/>
      <c r="D45" s="811"/>
      <c r="E45" s="811"/>
      <c r="F45" s="811"/>
      <c r="G45" s="811"/>
      <c r="H45" s="811"/>
      <c r="I45" s="811"/>
      <c r="J45" s="811"/>
      <c r="K45" s="896"/>
      <c r="Q45" s="218">
        <f>K44+G79+G114+G149+G184+G217</f>
        <v>5765141.8800000008</v>
      </c>
    </row>
    <row r="46" spans="1:19" ht="18" customHeight="1" x14ac:dyDescent="0.2">
      <c r="A46" s="899" t="s">
        <v>44</v>
      </c>
      <c r="B46" s="783"/>
      <c r="C46" s="783"/>
      <c r="D46" s="783"/>
      <c r="E46" s="783"/>
      <c r="F46" s="783"/>
      <c r="G46" s="783"/>
      <c r="H46" s="783"/>
      <c r="I46" s="783"/>
      <c r="J46" s="783"/>
      <c r="K46" s="900"/>
      <c r="Q46" s="248">
        <f>S44-Q45</f>
        <v>0</v>
      </c>
    </row>
    <row r="47" spans="1:19" ht="18" customHeight="1" x14ac:dyDescent="0.2">
      <c r="A47" s="899" t="s">
        <v>479</v>
      </c>
      <c r="B47" s="783"/>
      <c r="C47" s="783"/>
      <c r="D47" s="783"/>
      <c r="E47" s="783"/>
      <c r="F47" s="783"/>
      <c r="G47" s="783"/>
      <c r="H47" s="783"/>
      <c r="I47" s="783"/>
      <c r="J47" s="783"/>
      <c r="K47" s="900"/>
      <c r="Q47" s="218"/>
    </row>
    <row r="48" spans="1:19" ht="15" customHeight="1" x14ac:dyDescent="0.2">
      <c r="A48" s="804" t="s">
        <v>49</v>
      </c>
      <c r="B48" s="792"/>
      <c r="C48" s="792"/>
      <c r="D48" s="793"/>
      <c r="E48" s="800" t="s">
        <v>140</v>
      </c>
      <c r="F48" s="800" t="s">
        <v>139</v>
      </c>
      <c r="G48" s="803" t="s">
        <v>104</v>
      </c>
      <c r="H48" s="804" t="s">
        <v>53</v>
      </c>
      <c r="I48" s="792"/>
      <c r="J48" s="792"/>
      <c r="K48" s="793"/>
      <c r="R48" s="218"/>
    </row>
    <row r="49" spans="1:20" ht="15" customHeight="1" x14ac:dyDescent="0.2">
      <c r="A49" s="806"/>
      <c r="B49" s="795"/>
      <c r="C49" s="795"/>
      <c r="D49" s="796"/>
      <c r="E49" s="801"/>
      <c r="F49" s="801"/>
      <c r="G49" s="801"/>
      <c r="H49" s="806"/>
      <c r="I49" s="795"/>
      <c r="J49" s="795"/>
      <c r="K49" s="796"/>
    </row>
    <row r="50" spans="1:20" ht="15" customHeight="1" x14ac:dyDescent="0.2">
      <c r="A50" s="806"/>
      <c r="B50" s="795"/>
      <c r="C50" s="795"/>
      <c r="D50" s="796"/>
      <c r="E50" s="801"/>
      <c r="F50" s="801"/>
      <c r="G50" s="801"/>
      <c r="H50" s="806"/>
      <c r="I50" s="795"/>
      <c r="J50" s="795"/>
      <c r="K50" s="796"/>
      <c r="T50" s="218"/>
    </row>
    <row r="51" spans="1:20" ht="15" customHeight="1" x14ac:dyDescent="0.2">
      <c r="A51" s="806"/>
      <c r="B51" s="795"/>
      <c r="C51" s="795"/>
      <c r="D51" s="796"/>
      <c r="E51" s="801"/>
      <c r="F51" s="801"/>
      <c r="G51" s="801"/>
      <c r="H51" s="806"/>
      <c r="I51" s="795"/>
      <c r="J51" s="795"/>
      <c r="K51" s="796"/>
      <c r="R51" s="218"/>
    </row>
    <row r="52" spans="1:20" ht="15" customHeight="1" x14ac:dyDescent="0.2">
      <c r="A52" s="806"/>
      <c r="B52" s="795"/>
      <c r="C52" s="795"/>
      <c r="D52" s="796"/>
      <c r="E52" s="801"/>
      <c r="F52" s="801"/>
      <c r="G52" s="801"/>
      <c r="H52" s="806"/>
      <c r="I52" s="795"/>
      <c r="J52" s="795"/>
      <c r="K52" s="796"/>
      <c r="T52" s="218"/>
    </row>
    <row r="53" spans="1:20" ht="14.25" customHeight="1" x14ac:dyDescent="0.2">
      <c r="A53" s="808"/>
      <c r="B53" s="798"/>
      <c r="C53" s="798"/>
      <c r="D53" s="799"/>
      <c r="E53" s="802"/>
      <c r="F53" s="802"/>
      <c r="G53" s="802"/>
      <c r="H53" s="808"/>
      <c r="I53" s="798"/>
      <c r="J53" s="798"/>
      <c r="K53" s="799"/>
    </row>
    <row r="54" spans="1:20" ht="15" customHeight="1" x14ac:dyDescent="0.2">
      <c r="A54" s="771"/>
      <c r="B54" s="772"/>
      <c r="C54" s="772"/>
      <c r="D54" s="775"/>
      <c r="E54" s="27"/>
      <c r="F54" s="27"/>
      <c r="G54" s="29"/>
      <c r="H54" s="771"/>
      <c r="I54" s="772"/>
      <c r="J54" s="772"/>
      <c r="K54" s="775"/>
      <c r="M54" s="1" t="str">
        <f t="shared" ref="M54:M78" si="4">IF(AND(A54&lt;&gt;"",L55&gt;3),"No","Yes")</f>
        <v>Yes</v>
      </c>
      <c r="N54" s="1" t="str">
        <f>CONCATENATE(E54,F54)</f>
        <v/>
      </c>
    </row>
    <row r="55" spans="1:20" ht="15" customHeight="1" x14ac:dyDescent="0.2">
      <c r="A55" s="771"/>
      <c r="B55" s="772"/>
      <c r="C55" s="772"/>
      <c r="D55" s="775"/>
      <c r="E55" s="27"/>
      <c r="F55" s="27"/>
      <c r="G55" s="29"/>
      <c r="H55" s="771"/>
      <c r="I55" s="772"/>
      <c r="J55" s="772"/>
      <c r="K55" s="775"/>
      <c r="L55" s="1">
        <f t="shared" ref="L55:L79" si="5">COUNTBLANK(E54:K54)</f>
        <v>7</v>
      </c>
      <c r="M55" s="1" t="str">
        <f t="shared" si="4"/>
        <v>Yes</v>
      </c>
      <c r="N55" s="1" t="str">
        <f t="shared" ref="N55:N78" si="6">CONCATENATE(E55,F55)</f>
        <v/>
      </c>
    </row>
    <row r="56" spans="1:20" ht="15" customHeight="1" x14ac:dyDescent="0.2">
      <c r="A56" s="771"/>
      <c r="B56" s="772"/>
      <c r="C56" s="772"/>
      <c r="D56" s="775"/>
      <c r="E56" s="27"/>
      <c r="F56" s="27"/>
      <c r="G56" s="29"/>
      <c r="H56" s="771"/>
      <c r="I56" s="772"/>
      <c r="J56" s="772"/>
      <c r="K56" s="775"/>
      <c r="L56" s="1">
        <f t="shared" si="5"/>
        <v>7</v>
      </c>
      <c r="M56" s="1" t="str">
        <f t="shared" si="4"/>
        <v>Yes</v>
      </c>
      <c r="N56" s="1" t="str">
        <f t="shared" si="6"/>
        <v/>
      </c>
    </row>
    <row r="57" spans="1:20" ht="15" customHeight="1" x14ac:dyDescent="0.2">
      <c r="A57" s="771"/>
      <c r="B57" s="772"/>
      <c r="C57" s="772"/>
      <c r="D57" s="775"/>
      <c r="E57" s="27"/>
      <c r="F57" s="27"/>
      <c r="G57" s="29"/>
      <c r="H57" s="771"/>
      <c r="I57" s="772"/>
      <c r="J57" s="772"/>
      <c r="K57" s="775"/>
      <c r="L57" s="1">
        <f t="shared" si="5"/>
        <v>7</v>
      </c>
      <c r="M57" s="1" t="str">
        <f t="shared" si="4"/>
        <v>Yes</v>
      </c>
      <c r="N57" s="1" t="str">
        <f t="shared" si="6"/>
        <v/>
      </c>
    </row>
    <row r="58" spans="1:20" ht="15" customHeight="1" x14ac:dyDescent="0.2">
      <c r="A58" s="771"/>
      <c r="B58" s="772"/>
      <c r="C58" s="772"/>
      <c r="D58" s="775"/>
      <c r="E58" s="27"/>
      <c r="F58" s="27"/>
      <c r="G58" s="29"/>
      <c r="H58" s="771"/>
      <c r="I58" s="772"/>
      <c r="J58" s="772"/>
      <c r="K58" s="775"/>
      <c r="L58" s="1">
        <f t="shared" si="5"/>
        <v>7</v>
      </c>
      <c r="M58" s="1" t="str">
        <f t="shared" si="4"/>
        <v>Yes</v>
      </c>
      <c r="N58" s="1" t="str">
        <f t="shared" si="6"/>
        <v/>
      </c>
    </row>
    <row r="59" spans="1:20" ht="15" customHeight="1" x14ac:dyDescent="0.2">
      <c r="A59" s="771"/>
      <c r="B59" s="772"/>
      <c r="C59" s="772"/>
      <c r="D59" s="775"/>
      <c r="E59" s="27"/>
      <c r="F59" s="27"/>
      <c r="G59" s="29"/>
      <c r="H59" s="771"/>
      <c r="I59" s="772"/>
      <c r="J59" s="772"/>
      <c r="K59" s="775"/>
      <c r="L59" s="1">
        <f t="shared" si="5"/>
        <v>7</v>
      </c>
      <c r="M59" s="1" t="str">
        <f t="shared" si="4"/>
        <v>Yes</v>
      </c>
      <c r="N59" s="1" t="str">
        <f t="shared" si="6"/>
        <v/>
      </c>
    </row>
    <row r="60" spans="1:20" ht="15" customHeight="1" x14ac:dyDescent="0.2">
      <c r="A60" s="771"/>
      <c r="B60" s="772"/>
      <c r="C60" s="772"/>
      <c r="D60" s="775"/>
      <c r="E60" s="27"/>
      <c r="F60" s="27"/>
      <c r="G60" s="29"/>
      <c r="H60" s="771"/>
      <c r="I60" s="772"/>
      <c r="J60" s="772"/>
      <c r="K60" s="775"/>
      <c r="L60" s="1">
        <f t="shared" si="5"/>
        <v>7</v>
      </c>
      <c r="M60" s="1" t="str">
        <f t="shared" si="4"/>
        <v>Yes</v>
      </c>
      <c r="N60" s="1" t="str">
        <f t="shared" si="6"/>
        <v/>
      </c>
    </row>
    <row r="61" spans="1:20" ht="15" customHeight="1" x14ac:dyDescent="0.2">
      <c r="A61" s="771"/>
      <c r="B61" s="772"/>
      <c r="C61" s="772"/>
      <c r="D61" s="775"/>
      <c r="E61" s="27"/>
      <c r="F61" s="27"/>
      <c r="G61" s="29"/>
      <c r="H61" s="771"/>
      <c r="I61" s="772"/>
      <c r="J61" s="772"/>
      <c r="K61" s="775"/>
      <c r="L61" s="1">
        <f t="shared" si="5"/>
        <v>7</v>
      </c>
      <c r="M61" s="1" t="str">
        <f t="shared" si="4"/>
        <v>Yes</v>
      </c>
      <c r="N61" s="1" t="str">
        <f t="shared" si="6"/>
        <v/>
      </c>
    </row>
    <row r="62" spans="1:20" ht="15" customHeight="1" x14ac:dyDescent="0.2">
      <c r="A62" s="771"/>
      <c r="B62" s="772"/>
      <c r="C62" s="772"/>
      <c r="D62" s="775"/>
      <c r="E62" s="27"/>
      <c r="F62" s="27"/>
      <c r="G62" s="29"/>
      <c r="H62" s="771"/>
      <c r="I62" s="772"/>
      <c r="J62" s="772"/>
      <c r="K62" s="775"/>
      <c r="L62" s="1">
        <f t="shared" si="5"/>
        <v>7</v>
      </c>
      <c r="M62" s="1" t="str">
        <f t="shared" si="4"/>
        <v>Yes</v>
      </c>
      <c r="N62" s="1" t="str">
        <f t="shared" si="6"/>
        <v/>
      </c>
    </row>
    <row r="63" spans="1:20" ht="15" customHeight="1" x14ac:dyDescent="0.2">
      <c r="A63" s="771"/>
      <c r="B63" s="772"/>
      <c r="C63" s="772"/>
      <c r="D63" s="775"/>
      <c r="E63" s="27"/>
      <c r="F63" s="27"/>
      <c r="G63" s="29"/>
      <c r="H63" s="771"/>
      <c r="I63" s="772"/>
      <c r="J63" s="772"/>
      <c r="K63" s="775"/>
      <c r="L63" s="1">
        <f t="shared" si="5"/>
        <v>7</v>
      </c>
      <c r="M63" s="1" t="str">
        <f t="shared" si="4"/>
        <v>Yes</v>
      </c>
      <c r="N63" s="1" t="str">
        <f t="shared" si="6"/>
        <v/>
      </c>
    </row>
    <row r="64" spans="1:20" ht="15" customHeight="1" x14ac:dyDescent="0.2">
      <c r="A64" s="771"/>
      <c r="B64" s="772"/>
      <c r="C64" s="772"/>
      <c r="D64" s="775"/>
      <c r="E64" s="27"/>
      <c r="F64" s="27"/>
      <c r="G64" s="29"/>
      <c r="H64" s="771"/>
      <c r="I64" s="772"/>
      <c r="J64" s="772"/>
      <c r="K64" s="775"/>
      <c r="L64" s="1">
        <f t="shared" si="5"/>
        <v>7</v>
      </c>
      <c r="M64" s="1" t="str">
        <f t="shared" si="4"/>
        <v>Yes</v>
      </c>
      <c r="N64" s="1" t="str">
        <f t="shared" si="6"/>
        <v/>
      </c>
    </row>
    <row r="65" spans="1:14" ht="15" customHeight="1" x14ac:dyDescent="0.2">
      <c r="A65" s="771"/>
      <c r="B65" s="772"/>
      <c r="C65" s="772"/>
      <c r="D65" s="775"/>
      <c r="E65" s="27"/>
      <c r="F65" s="27"/>
      <c r="G65" s="29"/>
      <c r="H65" s="771"/>
      <c r="I65" s="772"/>
      <c r="J65" s="772"/>
      <c r="K65" s="775"/>
      <c r="L65" s="1">
        <f t="shared" si="5"/>
        <v>7</v>
      </c>
      <c r="M65" s="1" t="str">
        <f t="shared" si="4"/>
        <v>Yes</v>
      </c>
      <c r="N65" s="1" t="str">
        <f t="shared" si="6"/>
        <v/>
      </c>
    </row>
    <row r="66" spans="1:14" ht="15" customHeight="1" x14ac:dyDescent="0.2">
      <c r="A66" s="771"/>
      <c r="B66" s="772"/>
      <c r="C66" s="772"/>
      <c r="D66" s="775"/>
      <c r="E66" s="27"/>
      <c r="F66" s="27"/>
      <c r="G66" s="29"/>
      <c r="H66" s="771"/>
      <c r="I66" s="772"/>
      <c r="J66" s="772"/>
      <c r="K66" s="775"/>
      <c r="L66" s="1">
        <f t="shared" si="5"/>
        <v>7</v>
      </c>
      <c r="M66" s="1" t="str">
        <f t="shared" si="4"/>
        <v>Yes</v>
      </c>
      <c r="N66" s="1" t="str">
        <f t="shared" si="6"/>
        <v/>
      </c>
    </row>
    <row r="67" spans="1:14" ht="15" customHeight="1" x14ac:dyDescent="0.2">
      <c r="A67" s="771"/>
      <c r="B67" s="772"/>
      <c r="C67" s="772"/>
      <c r="D67" s="775"/>
      <c r="E67" s="27"/>
      <c r="F67" s="27"/>
      <c r="G67" s="29"/>
      <c r="H67" s="771"/>
      <c r="I67" s="772"/>
      <c r="J67" s="772"/>
      <c r="K67" s="775"/>
      <c r="L67" s="1">
        <f t="shared" si="5"/>
        <v>7</v>
      </c>
      <c r="M67" s="1" t="str">
        <f t="shared" si="4"/>
        <v>Yes</v>
      </c>
      <c r="N67" s="1" t="str">
        <f t="shared" si="6"/>
        <v/>
      </c>
    </row>
    <row r="68" spans="1:14" ht="15" customHeight="1" x14ac:dyDescent="0.2">
      <c r="A68" s="771"/>
      <c r="B68" s="772"/>
      <c r="C68" s="772"/>
      <c r="D68" s="775"/>
      <c r="E68" s="27"/>
      <c r="F68" s="27"/>
      <c r="G68" s="29"/>
      <c r="H68" s="771"/>
      <c r="I68" s="772"/>
      <c r="J68" s="772"/>
      <c r="K68" s="775"/>
      <c r="L68" s="1">
        <f t="shared" si="5"/>
        <v>7</v>
      </c>
      <c r="M68" s="1" t="str">
        <f t="shared" si="4"/>
        <v>Yes</v>
      </c>
      <c r="N68" s="1" t="str">
        <f t="shared" si="6"/>
        <v/>
      </c>
    </row>
    <row r="69" spans="1:14" ht="15" customHeight="1" x14ac:dyDescent="0.2">
      <c r="A69" s="771"/>
      <c r="B69" s="772"/>
      <c r="C69" s="772"/>
      <c r="D69" s="775"/>
      <c r="E69" s="27"/>
      <c r="F69" s="27"/>
      <c r="G69" s="29"/>
      <c r="H69" s="771"/>
      <c r="I69" s="772"/>
      <c r="J69" s="772"/>
      <c r="K69" s="775"/>
      <c r="L69" s="1">
        <f t="shared" si="5"/>
        <v>7</v>
      </c>
      <c r="M69" s="1" t="str">
        <f t="shared" si="4"/>
        <v>Yes</v>
      </c>
      <c r="N69" s="1" t="str">
        <f t="shared" si="6"/>
        <v/>
      </c>
    </row>
    <row r="70" spans="1:14" ht="15" customHeight="1" x14ac:dyDescent="0.2">
      <c r="A70" s="771"/>
      <c r="B70" s="772"/>
      <c r="C70" s="772"/>
      <c r="D70" s="775"/>
      <c r="E70" s="27"/>
      <c r="F70" s="27"/>
      <c r="G70" s="29"/>
      <c r="H70" s="771"/>
      <c r="I70" s="772"/>
      <c r="J70" s="772"/>
      <c r="K70" s="775"/>
      <c r="L70" s="1">
        <f t="shared" si="5"/>
        <v>7</v>
      </c>
      <c r="M70" s="1" t="str">
        <f t="shared" si="4"/>
        <v>Yes</v>
      </c>
      <c r="N70" s="1" t="str">
        <f t="shared" si="6"/>
        <v/>
      </c>
    </row>
    <row r="71" spans="1:14" ht="15" customHeight="1" x14ac:dyDescent="0.2">
      <c r="A71" s="771"/>
      <c r="B71" s="772"/>
      <c r="C71" s="772"/>
      <c r="D71" s="775"/>
      <c r="E71" s="27"/>
      <c r="F71" s="27"/>
      <c r="G71" s="29"/>
      <c r="H71" s="771"/>
      <c r="I71" s="772"/>
      <c r="J71" s="772"/>
      <c r="K71" s="775"/>
      <c r="L71" s="1">
        <f t="shared" si="5"/>
        <v>7</v>
      </c>
      <c r="M71" s="1" t="str">
        <f t="shared" si="4"/>
        <v>Yes</v>
      </c>
      <c r="N71" s="1" t="str">
        <f t="shared" si="6"/>
        <v/>
      </c>
    </row>
    <row r="72" spans="1:14" ht="15" customHeight="1" x14ac:dyDescent="0.2">
      <c r="A72" s="771"/>
      <c r="B72" s="772"/>
      <c r="C72" s="772"/>
      <c r="D72" s="775"/>
      <c r="E72" s="27"/>
      <c r="F72" s="27"/>
      <c r="G72" s="29"/>
      <c r="H72" s="771"/>
      <c r="I72" s="772"/>
      <c r="J72" s="772"/>
      <c r="K72" s="775"/>
      <c r="L72" s="1">
        <f t="shared" si="5"/>
        <v>7</v>
      </c>
      <c r="M72" s="1" t="str">
        <f t="shared" si="4"/>
        <v>Yes</v>
      </c>
      <c r="N72" s="1" t="str">
        <f t="shared" si="6"/>
        <v/>
      </c>
    </row>
    <row r="73" spans="1:14" ht="15" customHeight="1" x14ac:dyDescent="0.2">
      <c r="A73" s="771"/>
      <c r="B73" s="772"/>
      <c r="C73" s="772"/>
      <c r="D73" s="775"/>
      <c r="E73" s="27"/>
      <c r="F73" s="27"/>
      <c r="G73" s="29"/>
      <c r="H73" s="771"/>
      <c r="I73" s="772"/>
      <c r="J73" s="772"/>
      <c r="K73" s="775"/>
      <c r="L73" s="1">
        <f t="shared" si="5"/>
        <v>7</v>
      </c>
      <c r="M73" s="1" t="str">
        <f t="shared" si="4"/>
        <v>Yes</v>
      </c>
      <c r="N73" s="1" t="str">
        <f t="shared" si="6"/>
        <v/>
      </c>
    </row>
    <row r="74" spans="1:14" ht="15" customHeight="1" x14ac:dyDescent="0.2">
      <c r="A74" s="771"/>
      <c r="B74" s="772"/>
      <c r="C74" s="772"/>
      <c r="D74" s="775"/>
      <c r="E74" s="27"/>
      <c r="F74" s="27"/>
      <c r="G74" s="29"/>
      <c r="H74" s="771"/>
      <c r="I74" s="772"/>
      <c r="J74" s="772"/>
      <c r="K74" s="775"/>
      <c r="L74" s="1">
        <f t="shared" si="5"/>
        <v>7</v>
      </c>
      <c r="M74" s="1" t="str">
        <f t="shared" si="4"/>
        <v>Yes</v>
      </c>
      <c r="N74" s="1" t="str">
        <f t="shared" si="6"/>
        <v/>
      </c>
    </row>
    <row r="75" spans="1:14" ht="15" customHeight="1" x14ac:dyDescent="0.2">
      <c r="A75" s="771"/>
      <c r="B75" s="772"/>
      <c r="C75" s="772"/>
      <c r="D75" s="775"/>
      <c r="E75" s="27"/>
      <c r="F75" s="27"/>
      <c r="G75" s="29"/>
      <c r="H75" s="771"/>
      <c r="I75" s="772"/>
      <c r="J75" s="772"/>
      <c r="K75" s="775"/>
      <c r="L75" s="1">
        <f t="shared" si="5"/>
        <v>7</v>
      </c>
      <c r="M75" s="1" t="str">
        <f t="shared" si="4"/>
        <v>Yes</v>
      </c>
      <c r="N75" s="1" t="str">
        <f t="shared" si="6"/>
        <v/>
      </c>
    </row>
    <row r="76" spans="1:14" ht="15" customHeight="1" x14ac:dyDescent="0.2">
      <c r="A76" s="771"/>
      <c r="B76" s="772"/>
      <c r="C76" s="772"/>
      <c r="D76" s="775"/>
      <c r="E76" s="27"/>
      <c r="F76" s="27"/>
      <c r="G76" s="29"/>
      <c r="H76" s="771"/>
      <c r="I76" s="772"/>
      <c r="J76" s="772"/>
      <c r="K76" s="775"/>
      <c r="L76" s="1">
        <f t="shared" si="5"/>
        <v>7</v>
      </c>
      <c r="M76" s="1" t="str">
        <f t="shared" si="4"/>
        <v>Yes</v>
      </c>
      <c r="N76" s="1" t="str">
        <f t="shared" si="6"/>
        <v/>
      </c>
    </row>
    <row r="77" spans="1:14" ht="15" customHeight="1" x14ac:dyDescent="0.2">
      <c r="A77" s="771"/>
      <c r="B77" s="772"/>
      <c r="C77" s="772"/>
      <c r="D77" s="775"/>
      <c r="E77" s="27"/>
      <c r="F77" s="27"/>
      <c r="G77" s="29"/>
      <c r="H77" s="771"/>
      <c r="I77" s="772"/>
      <c r="J77" s="772"/>
      <c r="K77" s="775"/>
      <c r="L77" s="1">
        <f t="shared" si="5"/>
        <v>7</v>
      </c>
      <c r="M77" s="1" t="str">
        <f t="shared" si="4"/>
        <v>Yes</v>
      </c>
      <c r="N77" s="1" t="str">
        <f t="shared" si="6"/>
        <v/>
      </c>
    </row>
    <row r="78" spans="1:14" ht="15" customHeight="1" x14ac:dyDescent="0.2">
      <c r="A78" s="771"/>
      <c r="B78" s="772"/>
      <c r="C78" s="772"/>
      <c r="D78" s="775"/>
      <c r="E78" s="27"/>
      <c r="F78" s="27"/>
      <c r="G78" s="29"/>
      <c r="H78" s="771"/>
      <c r="I78" s="772"/>
      <c r="J78" s="772"/>
      <c r="K78" s="775"/>
      <c r="L78" s="1">
        <f t="shared" si="5"/>
        <v>7</v>
      </c>
      <c r="M78" s="1" t="str">
        <f t="shared" si="4"/>
        <v>Yes</v>
      </c>
      <c r="N78" s="1" t="str">
        <f t="shared" si="6"/>
        <v/>
      </c>
    </row>
    <row r="79" spans="1:14" ht="15" customHeight="1" x14ac:dyDescent="0.2">
      <c r="A79" s="898" t="s">
        <v>91</v>
      </c>
      <c r="B79" s="786"/>
      <c r="C79" s="786"/>
      <c r="D79" s="786"/>
      <c r="E79" s="786"/>
      <c r="F79" s="787"/>
      <c r="G79" s="788">
        <f>SUM(G54:G78)</f>
        <v>0</v>
      </c>
      <c r="H79" s="789"/>
      <c r="I79" s="789"/>
      <c r="J79" s="789"/>
      <c r="K79" s="897"/>
      <c r="L79" s="1">
        <f t="shared" si="5"/>
        <v>7</v>
      </c>
      <c r="M79" s="1">
        <f>COUNTIF(M54:M78,"Yes")</f>
        <v>25</v>
      </c>
    </row>
    <row r="80" spans="1:14" ht="15" customHeight="1" x14ac:dyDescent="0.2">
      <c r="A80" s="895"/>
      <c r="B80" s="811"/>
      <c r="C80" s="811"/>
      <c r="D80" s="811"/>
      <c r="E80" s="811"/>
      <c r="F80" s="811"/>
      <c r="G80" s="811"/>
      <c r="H80" s="811"/>
      <c r="I80" s="811"/>
      <c r="J80" s="811"/>
      <c r="K80" s="896"/>
    </row>
    <row r="81" spans="1:14" ht="18" customHeight="1" x14ac:dyDescent="0.2">
      <c r="A81" s="899" t="s">
        <v>45</v>
      </c>
      <c r="B81" s="783"/>
      <c r="C81" s="783"/>
      <c r="D81" s="783"/>
      <c r="E81" s="783"/>
      <c r="F81" s="783"/>
      <c r="G81" s="783"/>
      <c r="H81" s="783"/>
      <c r="I81" s="783"/>
      <c r="J81" s="783"/>
      <c r="K81" s="900"/>
    </row>
    <row r="82" spans="1:14" ht="18" customHeight="1" x14ac:dyDescent="0.2">
      <c r="A82" s="899" t="s">
        <v>479</v>
      </c>
      <c r="B82" s="783"/>
      <c r="C82" s="783"/>
      <c r="D82" s="783"/>
      <c r="E82" s="783"/>
      <c r="F82" s="783"/>
      <c r="G82" s="783"/>
      <c r="H82" s="783"/>
      <c r="I82" s="783"/>
      <c r="J82" s="783"/>
      <c r="K82" s="900"/>
    </row>
    <row r="83" spans="1:14" ht="15" customHeight="1" x14ac:dyDescent="0.2">
      <c r="A83" s="804" t="s">
        <v>49</v>
      </c>
      <c r="B83" s="792"/>
      <c r="C83" s="792"/>
      <c r="D83" s="793"/>
      <c r="E83" s="800" t="s">
        <v>140</v>
      </c>
      <c r="F83" s="800" t="s">
        <v>139</v>
      </c>
      <c r="G83" s="803" t="s">
        <v>104</v>
      </c>
      <c r="H83" s="804" t="s">
        <v>53</v>
      </c>
      <c r="I83" s="822"/>
      <c r="J83" s="822"/>
      <c r="K83" s="961"/>
    </row>
    <row r="84" spans="1:14" ht="15" customHeight="1" x14ac:dyDescent="0.2">
      <c r="A84" s="806"/>
      <c r="B84" s="795"/>
      <c r="C84" s="795"/>
      <c r="D84" s="796"/>
      <c r="E84" s="801"/>
      <c r="F84" s="801"/>
      <c r="G84" s="801"/>
      <c r="H84" s="824"/>
      <c r="I84" s="962"/>
      <c r="J84" s="962"/>
      <c r="K84" s="963"/>
    </row>
    <row r="85" spans="1:14" ht="15" customHeight="1" x14ac:dyDescent="0.2">
      <c r="A85" s="806"/>
      <c r="B85" s="795"/>
      <c r="C85" s="795"/>
      <c r="D85" s="796"/>
      <c r="E85" s="801"/>
      <c r="F85" s="801"/>
      <c r="G85" s="801"/>
      <c r="H85" s="824"/>
      <c r="I85" s="962"/>
      <c r="J85" s="962"/>
      <c r="K85" s="963"/>
    </row>
    <row r="86" spans="1:14" ht="15" customHeight="1" x14ac:dyDescent="0.2">
      <c r="A86" s="806"/>
      <c r="B86" s="795"/>
      <c r="C86" s="795"/>
      <c r="D86" s="796"/>
      <c r="E86" s="801"/>
      <c r="F86" s="801"/>
      <c r="G86" s="801"/>
      <c r="H86" s="824"/>
      <c r="I86" s="962"/>
      <c r="J86" s="962"/>
      <c r="K86" s="963"/>
    </row>
    <row r="87" spans="1:14" ht="15" customHeight="1" x14ac:dyDescent="0.2">
      <c r="A87" s="806"/>
      <c r="B87" s="795"/>
      <c r="C87" s="795"/>
      <c r="D87" s="796"/>
      <c r="E87" s="801"/>
      <c r="F87" s="801"/>
      <c r="G87" s="801"/>
      <c r="H87" s="824"/>
      <c r="I87" s="962"/>
      <c r="J87" s="962"/>
      <c r="K87" s="963"/>
    </row>
    <row r="88" spans="1:14" ht="14.25" customHeight="1" x14ac:dyDescent="0.2">
      <c r="A88" s="808"/>
      <c r="B88" s="798"/>
      <c r="C88" s="798"/>
      <c r="D88" s="799"/>
      <c r="E88" s="802"/>
      <c r="F88" s="802"/>
      <c r="G88" s="802"/>
      <c r="H88" s="827"/>
      <c r="I88" s="828"/>
      <c r="J88" s="828"/>
      <c r="K88" s="964"/>
    </row>
    <row r="89" spans="1:14" ht="15" customHeight="1" x14ac:dyDescent="0.2">
      <c r="A89" s="771"/>
      <c r="B89" s="772"/>
      <c r="C89" s="772"/>
      <c r="D89" s="775"/>
      <c r="E89" s="27"/>
      <c r="F89" s="27"/>
      <c r="G89" s="29"/>
      <c r="H89" s="771"/>
      <c r="I89" s="830"/>
      <c r="J89" s="830"/>
      <c r="K89" s="960"/>
      <c r="M89" s="1" t="str">
        <f t="shared" ref="M89:M113" si="7">IF(AND(A89&lt;&gt;"",L90&gt;3),"No","Yes")</f>
        <v>Yes</v>
      </c>
      <c r="N89" s="1" t="str">
        <f t="shared" ref="N89:N113" si="8">CONCATENATE(E89,F89)</f>
        <v/>
      </c>
    </row>
    <row r="90" spans="1:14" ht="15" customHeight="1" x14ac:dyDescent="0.2">
      <c r="A90" s="771"/>
      <c r="B90" s="772"/>
      <c r="C90" s="772"/>
      <c r="D90" s="775"/>
      <c r="E90" s="27"/>
      <c r="F90" s="27"/>
      <c r="G90" s="29"/>
      <c r="H90" s="771"/>
      <c r="I90" s="772"/>
      <c r="J90" s="772"/>
      <c r="K90" s="775"/>
      <c r="L90" s="1">
        <f t="shared" ref="L90:L114" si="9">COUNTBLANK(E89:K89)</f>
        <v>7</v>
      </c>
      <c r="M90" s="1" t="str">
        <f t="shared" si="7"/>
        <v>Yes</v>
      </c>
      <c r="N90" s="1" t="str">
        <f t="shared" si="8"/>
        <v/>
      </c>
    </row>
    <row r="91" spans="1:14" ht="15" customHeight="1" x14ac:dyDescent="0.2">
      <c r="A91" s="771"/>
      <c r="B91" s="772"/>
      <c r="C91" s="772"/>
      <c r="D91" s="775"/>
      <c r="E91" s="27"/>
      <c r="F91" s="27"/>
      <c r="G91" s="29"/>
      <c r="H91" s="771"/>
      <c r="I91" s="772"/>
      <c r="J91" s="772"/>
      <c r="K91" s="775"/>
      <c r="L91" s="1">
        <f t="shared" si="9"/>
        <v>7</v>
      </c>
      <c r="M91" s="1" t="str">
        <f t="shared" si="7"/>
        <v>Yes</v>
      </c>
      <c r="N91" s="1" t="str">
        <f t="shared" si="8"/>
        <v/>
      </c>
    </row>
    <row r="92" spans="1:14" ht="15" customHeight="1" x14ac:dyDescent="0.2">
      <c r="A92" s="771"/>
      <c r="B92" s="772"/>
      <c r="C92" s="772"/>
      <c r="D92" s="775"/>
      <c r="E92" s="27"/>
      <c r="F92" s="27"/>
      <c r="G92" s="29"/>
      <c r="H92" s="771"/>
      <c r="I92" s="772"/>
      <c r="J92" s="772"/>
      <c r="K92" s="775"/>
      <c r="L92" s="1">
        <f t="shared" si="9"/>
        <v>7</v>
      </c>
      <c r="M92" s="1" t="str">
        <f t="shared" si="7"/>
        <v>Yes</v>
      </c>
      <c r="N92" s="1" t="str">
        <f t="shared" si="8"/>
        <v/>
      </c>
    </row>
    <row r="93" spans="1:14" ht="15" customHeight="1" x14ac:dyDescent="0.2">
      <c r="A93" s="771"/>
      <c r="B93" s="772"/>
      <c r="C93" s="772"/>
      <c r="D93" s="775"/>
      <c r="E93" s="27"/>
      <c r="F93" s="27"/>
      <c r="G93" s="29"/>
      <c r="H93" s="771"/>
      <c r="I93" s="772"/>
      <c r="J93" s="772"/>
      <c r="K93" s="775"/>
      <c r="L93" s="1">
        <f t="shared" si="9"/>
        <v>7</v>
      </c>
      <c r="M93" s="1" t="str">
        <f t="shared" si="7"/>
        <v>Yes</v>
      </c>
      <c r="N93" s="1" t="str">
        <f t="shared" si="8"/>
        <v/>
      </c>
    </row>
    <row r="94" spans="1:14" ht="15" customHeight="1" x14ac:dyDescent="0.2">
      <c r="A94" s="771"/>
      <c r="B94" s="772"/>
      <c r="C94" s="772"/>
      <c r="D94" s="775"/>
      <c r="E94" s="27"/>
      <c r="F94" s="27"/>
      <c r="G94" s="29"/>
      <c r="H94" s="771"/>
      <c r="I94" s="772"/>
      <c r="J94" s="772"/>
      <c r="K94" s="775"/>
      <c r="L94" s="1">
        <f t="shared" si="9"/>
        <v>7</v>
      </c>
      <c r="M94" s="1" t="str">
        <f t="shared" si="7"/>
        <v>Yes</v>
      </c>
      <c r="N94" s="1" t="str">
        <f t="shared" si="8"/>
        <v/>
      </c>
    </row>
    <row r="95" spans="1:14" ht="15" customHeight="1" x14ac:dyDescent="0.2">
      <c r="A95" s="771"/>
      <c r="B95" s="772"/>
      <c r="C95" s="772"/>
      <c r="D95" s="775"/>
      <c r="E95" s="27"/>
      <c r="F95" s="27"/>
      <c r="G95" s="29"/>
      <c r="H95" s="771"/>
      <c r="I95" s="772"/>
      <c r="J95" s="772"/>
      <c r="K95" s="775"/>
      <c r="L95" s="1">
        <f t="shared" si="9"/>
        <v>7</v>
      </c>
      <c r="M95" s="1" t="str">
        <f t="shared" si="7"/>
        <v>Yes</v>
      </c>
      <c r="N95" s="1" t="str">
        <f t="shared" si="8"/>
        <v/>
      </c>
    </row>
    <row r="96" spans="1:14" ht="15" customHeight="1" x14ac:dyDescent="0.2">
      <c r="A96" s="771"/>
      <c r="B96" s="772"/>
      <c r="C96" s="772"/>
      <c r="D96" s="775"/>
      <c r="E96" s="27"/>
      <c r="F96" s="27"/>
      <c r="G96" s="29"/>
      <c r="H96" s="771"/>
      <c r="I96" s="772"/>
      <c r="J96" s="772"/>
      <c r="K96" s="775"/>
      <c r="L96" s="1">
        <f t="shared" si="9"/>
        <v>7</v>
      </c>
      <c r="M96" s="1" t="str">
        <f t="shared" si="7"/>
        <v>Yes</v>
      </c>
      <c r="N96" s="1" t="str">
        <f t="shared" si="8"/>
        <v/>
      </c>
    </row>
    <row r="97" spans="1:14" ht="15" customHeight="1" x14ac:dyDescent="0.2">
      <c r="A97" s="771"/>
      <c r="B97" s="772"/>
      <c r="C97" s="772"/>
      <c r="D97" s="775"/>
      <c r="E97" s="27"/>
      <c r="F97" s="27"/>
      <c r="G97" s="29"/>
      <c r="H97" s="771"/>
      <c r="I97" s="772"/>
      <c r="J97" s="772"/>
      <c r="K97" s="775"/>
      <c r="L97" s="1">
        <f t="shared" si="9"/>
        <v>7</v>
      </c>
      <c r="M97" s="1" t="str">
        <f t="shared" si="7"/>
        <v>Yes</v>
      </c>
      <c r="N97" s="1" t="str">
        <f t="shared" si="8"/>
        <v/>
      </c>
    </row>
    <row r="98" spans="1:14" ht="15" customHeight="1" x14ac:dyDescent="0.2">
      <c r="A98" s="771"/>
      <c r="B98" s="772"/>
      <c r="C98" s="772"/>
      <c r="D98" s="775"/>
      <c r="E98" s="27"/>
      <c r="F98" s="27"/>
      <c r="G98" s="29"/>
      <c r="H98" s="771"/>
      <c r="I98" s="772"/>
      <c r="J98" s="772"/>
      <c r="K98" s="775"/>
      <c r="L98" s="1">
        <f t="shared" si="9"/>
        <v>7</v>
      </c>
      <c r="M98" s="1" t="str">
        <f t="shared" si="7"/>
        <v>Yes</v>
      </c>
      <c r="N98" s="1" t="str">
        <f t="shared" si="8"/>
        <v/>
      </c>
    </row>
    <row r="99" spans="1:14" ht="15" customHeight="1" x14ac:dyDescent="0.2">
      <c r="A99" s="771"/>
      <c r="B99" s="772"/>
      <c r="C99" s="772"/>
      <c r="D99" s="775"/>
      <c r="E99" s="27"/>
      <c r="F99" s="27"/>
      <c r="G99" s="29"/>
      <c r="H99" s="771"/>
      <c r="I99" s="772"/>
      <c r="J99" s="772"/>
      <c r="K99" s="775"/>
      <c r="L99" s="1">
        <f t="shared" si="9"/>
        <v>7</v>
      </c>
      <c r="M99" s="1" t="str">
        <f t="shared" si="7"/>
        <v>Yes</v>
      </c>
      <c r="N99" s="1" t="str">
        <f t="shared" si="8"/>
        <v/>
      </c>
    </row>
    <row r="100" spans="1:14" ht="15" customHeight="1" x14ac:dyDescent="0.2">
      <c r="A100" s="771"/>
      <c r="B100" s="772"/>
      <c r="C100" s="772"/>
      <c r="D100" s="775"/>
      <c r="E100" s="27"/>
      <c r="F100" s="27"/>
      <c r="G100" s="29"/>
      <c r="H100" s="771"/>
      <c r="I100" s="772"/>
      <c r="J100" s="772"/>
      <c r="K100" s="775"/>
      <c r="L100" s="1">
        <f t="shared" si="9"/>
        <v>7</v>
      </c>
      <c r="M100" s="1" t="str">
        <f t="shared" si="7"/>
        <v>Yes</v>
      </c>
      <c r="N100" s="1" t="str">
        <f t="shared" si="8"/>
        <v/>
      </c>
    </row>
    <row r="101" spans="1:14" ht="15" customHeight="1" x14ac:dyDescent="0.2">
      <c r="A101" s="771"/>
      <c r="B101" s="772"/>
      <c r="C101" s="772"/>
      <c r="D101" s="775"/>
      <c r="E101" s="27"/>
      <c r="F101" s="27"/>
      <c r="G101" s="29"/>
      <c r="H101" s="771"/>
      <c r="I101" s="772"/>
      <c r="J101" s="772"/>
      <c r="K101" s="775"/>
      <c r="L101" s="1">
        <f t="shared" si="9"/>
        <v>7</v>
      </c>
      <c r="M101" s="1" t="str">
        <f t="shared" si="7"/>
        <v>Yes</v>
      </c>
      <c r="N101" s="1" t="str">
        <f t="shared" si="8"/>
        <v/>
      </c>
    </row>
    <row r="102" spans="1:14" ht="15" customHeight="1" x14ac:dyDescent="0.2">
      <c r="A102" s="771"/>
      <c r="B102" s="772"/>
      <c r="C102" s="772"/>
      <c r="D102" s="775"/>
      <c r="E102" s="27"/>
      <c r="F102" s="27"/>
      <c r="G102" s="29"/>
      <c r="H102" s="771"/>
      <c r="I102" s="772"/>
      <c r="J102" s="772"/>
      <c r="K102" s="775"/>
      <c r="L102" s="1">
        <f t="shared" si="9"/>
        <v>7</v>
      </c>
      <c r="M102" s="1" t="str">
        <f t="shared" si="7"/>
        <v>Yes</v>
      </c>
      <c r="N102" s="1" t="str">
        <f t="shared" si="8"/>
        <v/>
      </c>
    </row>
    <row r="103" spans="1:14" ht="15" customHeight="1" x14ac:dyDescent="0.2">
      <c r="A103" s="771"/>
      <c r="B103" s="772"/>
      <c r="C103" s="772"/>
      <c r="D103" s="775"/>
      <c r="E103" s="27"/>
      <c r="F103" s="27"/>
      <c r="G103" s="29"/>
      <c r="H103" s="771"/>
      <c r="I103" s="772"/>
      <c r="J103" s="772"/>
      <c r="K103" s="775"/>
      <c r="L103" s="1">
        <f t="shared" si="9"/>
        <v>7</v>
      </c>
      <c r="M103" s="1" t="str">
        <f t="shared" si="7"/>
        <v>Yes</v>
      </c>
      <c r="N103" s="1" t="str">
        <f t="shared" si="8"/>
        <v/>
      </c>
    </row>
    <row r="104" spans="1:14" ht="15" customHeight="1" x14ac:dyDescent="0.2">
      <c r="A104" s="771"/>
      <c r="B104" s="772"/>
      <c r="C104" s="772"/>
      <c r="D104" s="775"/>
      <c r="E104" s="27"/>
      <c r="F104" s="27"/>
      <c r="G104" s="29"/>
      <c r="H104" s="771"/>
      <c r="I104" s="772"/>
      <c r="J104" s="772"/>
      <c r="K104" s="775"/>
      <c r="L104" s="1">
        <f t="shared" si="9"/>
        <v>7</v>
      </c>
      <c r="M104" s="1" t="str">
        <f t="shared" si="7"/>
        <v>Yes</v>
      </c>
      <c r="N104" s="1" t="str">
        <f t="shared" si="8"/>
        <v/>
      </c>
    </row>
    <row r="105" spans="1:14" ht="15" customHeight="1" x14ac:dyDescent="0.2">
      <c r="A105" s="771"/>
      <c r="B105" s="772"/>
      <c r="C105" s="772"/>
      <c r="D105" s="775"/>
      <c r="E105" s="27"/>
      <c r="F105" s="27"/>
      <c r="G105" s="29"/>
      <c r="H105" s="771"/>
      <c r="I105" s="772"/>
      <c r="J105" s="772"/>
      <c r="K105" s="775"/>
      <c r="L105" s="1">
        <f t="shared" si="9"/>
        <v>7</v>
      </c>
      <c r="M105" s="1" t="str">
        <f t="shared" si="7"/>
        <v>Yes</v>
      </c>
      <c r="N105" s="1" t="str">
        <f t="shared" si="8"/>
        <v/>
      </c>
    </row>
    <row r="106" spans="1:14" ht="15" customHeight="1" x14ac:dyDescent="0.2">
      <c r="A106" s="771"/>
      <c r="B106" s="772"/>
      <c r="C106" s="772"/>
      <c r="D106" s="775"/>
      <c r="E106" s="27"/>
      <c r="F106" s="27"/>
      <c r="G106" s="29"/>
      <c r="H106" s="771"/>
      <c r="I106" s="772"/>
      <c r="J106" s="772"/>
      <c r="K106" s="775"/>
      <c r="L106" s="1">
        <f t="shared" si="9"/>
        <v>7</v>
      </c>
      <c r="M106" s="1" t="str">
        <f t="shared" si="7"/>
        <v>Yes</v>
      </c>
      <c r="N106" s="1" t="str">
        <f t="shared" si="8"/>
        <v/>
      </c>
    </row>
    <row r="107" spans="1:14" ht="15" customHeight="1" x14ac:dyDescent="0.2">
      <c r="A107" s="771"/>
      <c r="B107" s="772"/>
      <c r="C107" s="772"/>
      <c r="D107" s="775"/>
      <c r="E107" s="27"/>
      <c r="F107" s="27"/>
      <c r="G107" s="29"/>
      <c r="H107" s="771"/>
      <c r="I107" s="772"/>
      <c r="J107" s="772"/>
      <c r="K107" s="775"/>
      <c r="L107" s="1">
        <f t="shared" si="9"/>
        <v>7</v>
      </c>
      <c r="M107" s="1" t="str">
        <f t="shared" si="7"/>
        <v>Yes</v>
      </c>
      <c r="N107" s="1" t="str">
        <f t="shared" si="8"/>
        <v/>
      </c>
    </row>
    <row r="108" spans="1:14" ht="15" customHeight="1" x14ac:dyDescent="0.2">
      <c r="A108" s="771"/>
      <c r="B108" s="772"/>
      <c r="C108" s="772"/>
      <c r="D108" s="775"/>
      <c r="E108" s="27"/>
      <c r="F108" s="27"/>
      <c r="G108" s="29"/>
      <c r="H108" s="771"/>
      <c r="I108" s="772"/>
      <c r="J108" s="772"/>
      <c r="K108" s="775"/>
      <c r="L108" s="1">
        <f t="shared" si="9"/>
        <v>7</v>
      </c>
      <c r="M108" s="1" t="str">
        <f t="shared" si="7"/>
        <v>Yes</v>
      </c>
      <c r="N108" s="1" t="str">
        <f t="shared" si="8"/>
        <v/>
      </c>
    </row>
    <row r="109" spans="1:14" ht="15" customHeight="1" x14ac:dyDescent="0.2">
      <c r="A109" s="771"/>
      <c r="B109" s="772"/>
      <c r="C109" s="772"/>
      <c r="D109" s="775"/>
      <c r="E109" s="27"/>
      <c r="F109" s="27"/>
      <c r="G109" s="29"/>
      <c r="H109" s="771"/>
      <c r="I109" s="772"/>
      <c r="J109" s="772"/>
      <c r="K109" s="775"/>
      <c r="L109" s="1">
        <f t="shared" si="9"/>
        <v>7</v>
      </c>
      <c r="M109" s="1" t="str">
        <f t="shared" si="7"/>
        <v>Yes</v>
      </c>
      <c r="N109" s="1" t="str">
        <f t="shared" si="8"/>
        <v/>
      </c>
    </row>
    <row r="110" spans="1:14" ht="15" customHeight="1" x14ac:dyDescent="0.2">
      <c r="A110" s="771"/>
      <c r="B110" s="772"/>
      <c r="C110" s="772"/>
      <c r="D110" s="775"/>
      <c r="E110" s="27"/>
      <c r="F110" s="27"/>
      <c r="G110" s="29"/>
      <c r="H110" s="771"/>
      <c r="I110" s="772"/>
      <c r="J110" s="772"/>
      <c r="K110" s="775"/>
      <c r="L110" s="1">
        <f t="shared" si="9"/>
        <v>7</v>
      </c>
      <c r="M110" s="1" t="str">
        <f t="shared" si="7"/>
        <v>Yes</v>
      </c>
      <c r="N110" s="1" t="str">
        <f t="shared" si="8"/>
        <v/>
      </c>
    </row>
    <row r="111" spans="1:14" ht="15" customHeight="1" x14ac:dyDescent="0.2">
      <c r="A111" s="771"/>
      <c r="B111" s="772"/>
      <c r="C111" s="772"/>
      <c r="D111" s="775"/>
      <c r="E111" s="27"/>
      <c r="F111" s="27"/>
      <c r="G111" s="29"/>
      <c r="H111" s="771"/>
      <c r="I111" s="772"/>
      <c r="J111" s="772"/>
      <c r="K111" s="775"/>
      <c r="L111" s="1">
        <f t="shared" si="9"/>
        <v>7</v>
      </c>
      <c r="M111" s="1" t="str">
        <f t="shared" si="7"/>
        <v>Yes</v>
      </c>
      <c r="N111" s="1" t="str">
        <f t="shared" si="8"/>
        <v/>
      </c>
    </row>
    <row r="112" spans="1:14" ht="15" customHeight="1" x14ac:dyDescent="0.2">
      <c r="A112" s="771"/>
      <c r="B112" s="772"/>
      <c r="C112" s="772"/>
      <c r="D112" s="775"/>
      <c r="E112" s="27"/>
      <c r="F112" s="27"/>
      <c r="G112" s="29"/>
      <c r="H112" s="771"/>
      <c r="I112" s="772"/>
      <c r="J112" s="772"/>
      <c r="K112" s="775"/>
      <c r="L112" s="1">
        <f t="shared" si="9"/>
        <v>7</v>
      </c>
      <c r="M112" s="1" t="str">
        <f t="shared" si="7"/>
        <v>Yes</v>
      </c>
      <c r="N112" s="1" t="str">
        <f t="shared" si="8"/>
        <v/>
      </c>
    </row>
    <row r="113" spans="1:14" ht="15" customHeight="1" x14ac:dyDescent="0.2">
      <c r="A113" s="771"/>
      <c r="B113" s="772"/>
      <c r="C113" s="772"/>
      <c r="D113" s="775"/>
      <c r="E113" s="27"/>
      <c r="F113" s="27"/>
      <c r="G113" s="29"/>
      <c r="H113" s="771"/>
      <c r="I113" s="772"/>
      <c r="J113" s="772"/>
      <c r="K113" s="775"/>
      <c r="L113" s="1">
        <f t="shared" si="9"/>
        <v>7</v>
      </c>
      <c r="M113" s="1" t="str">
        <f t="shared" si="7"/>
        <v>Yes</v>
      </c>
      <c r="N113" s="1" t="str">
        <f t="shared" si="8"/>
        <v/>
      </c>
    </row>
    <row r="114" spans="1:14" ht="15" customHeight="1" x14ac:dyDescent="0.2">
      <c r="A114" s="898" t="s">
        <v>96</v>
      </c>
      <c r="B114" s="786"/>
      <c r="C114" s="786"/>
      <c r="D114" s="786"/>
      <c r="E114" s="786"/>
      <c r="F114" s="787"/>
      <c r="G114" s="788">
        <f>SUM(G89:G113)</f>
        <v>0</v>
      </c>
      <c r="H114" s="789"/>
      <c r="I114" s="789"/>
      <c r="J114" s="789"/>
      <c r="K114" s="897"/>
      <c r="L114" s="1">
        <f t="shared" si="9"/>
        <v>7</v>
      </c>
      <c r="M114" s="1">
        <f>COUNTIF(M89:M113,"Yes")</f>
        <v>25</v>
      </c>
    </row>
    <row r="115" spans="1:14" ht="15" customHeight="1" x14ac:dyDescent="0.2">
      <c r="A115" s="895"/>
      <c r="B115" s="811"/>
      <c r="C115" s="811"/>
      <c r="D115" s="811"/>
      <c r="E115" s="811"/>
      <c r="F115" s="811"/>
      <c r="G115" s="811"/>
      <c r="H115" s="811"/>
      <c r="I115" s="811"/>
      <c r="J115" s="811"/>
      <c r="K115" s="896"/>
    </row>
    <row r="116" spans="1:14" ht="18" customHeight="1" x14ac:dyDescent="0.2">
      <c r="A116" s="899" t="s">
        <v>97</v>
      </c>
      <c r="B116" s="783"/>
      <c r="C116" s="783"/>
      <c r="D116" s="783"/>
      <c r="E116" s="783"/>
      <c r="F116" s="783"/>
      <c r="G116" s="783"/>
      <c r="H116" s="783"/>
      <c r="I116" s="783"/>
      <c r="J116" s="783"/>
      <c r="K116" s="900"/>
    </row>
    <row r="117" spans="1:14" ht="18" customHeight="1" x14ac:dyDescent="0.2">
      <c r="A117" s="899" t="s">
        <v>479</v>
      </c>
      <c r="B117" s="783"/>
      <c r="C117" s="783"/>
      <c r="D117" s="783"/>
      <c r="E117" s="783"/>
      <c r="F117" s="783"/>
      <c r="G117" s="783"/>
      <c r="H117" s="783"/>
      <c r="I117" s="783"/>
      <c r="J117" s="783"/>
      <c r="K117" s="900"/>
    </row>
    <row r="118" spans="1:14" ht="15" customHeight="1" x14ac:dyDescent="0.2">
      <c r="A118" s="804" t="s">
        <v>49</v>
      </c>
      <c r="B118" s="792"/>
      <c r="C118" s="792"/>
      <c r="D118" s="793"/>
      <c r="E118" s="800" t="s">
        <v>140</v>
      </c>
      <c r="F118" s="800" t="s">
        <v>139</v>
      </c>
      <c r="G118" s="803" t="s">
        <v>104</v>
      </c>
      <c r="H118" s="804" t="s">
        <v>53</v>
      </c>
      <c r="I118" s="792"/>
      <c r="J118" s="792"/>
      <c r="K118" s="793"/>
    </row>
    <row r="119" spans="1:14" ht="15" customHeight="1" x14ac:dyDescent="0.2">
      <c r="A119" s="806"/>
      <c r="B119" s="795"/>
      <c r="C119" s="795"/>
      <c r="D119" s="796"/>
      <c r="E119" s="801"/>
      <c r="F119" s="801"/>
      <c r="G119" s="801"/>
      <c r="H119" s="806"/>
      <c r="I119" s="795"/>
      <c r="J119" s="795"/>
      <c r="K119" s="796"/>
    </row>
    <row r="120" spans="1:14" ht="15" customHeight="1" x14ac:dyDescent="0.2">
      <c r="A120" s="806"/>
      <c r="B120" s="795"/>
      <c r="C120" s="795"/>
      <c r="D120" s="796"/>
      <c r="E120" s="801"/>
      <c r="F120" s="801"/>
      <c r="G120" s="801"/>
      <c r="H120" s="806"/>
      <c r="I120" s="795"/>
      <c r="J120" s="795"/>
      <c r="K120" s="796"/>
    </row>
    <row r="121" spans="1:14" ht="15" customHeight="1" x14ac:dyDescent="0.2">
      <c r="A121" s="806"/>
      <c r="B121" s="795"/>
      <c r="C121" s="795"/>
      <c r="D121" s="796"/>
      <c r="E121" s="801"/>
      <c r="F121" s="801"/>
      <c r="G121" s="801"/>
      <c r="H121" s="806"/>
      <c r="I121" s="795"/>
      <c r="J121" s="795"/>
      <c r="K121" s="796"/>
    </row>
    <row r="122" spans="1:14" ht="15" customHeight="1" x14ac:dyDescent="0.2">
      <c r="A122" s="806"/>
      <c r="B122" s="795"/>
      <c r="C122" s="795"/>
      <c r="D122" s="796"/>
      <c r="E122" s="801"/>
      <c r="F122" s="801"/>
      <c r="G122" s="801"/>
      <c r="H122" s="806"/>
      <c r="I122" s="795"/>
      <c r="J122" s="795"/>
      <c r="K122" s="796"/>
    </row>
    <row r="123" spans="1:14" ht="14.25" customHeight="1" x14ac:dyDescent="0.2">
      <c r="A123" s="808"/>
      <c r="B123" s="798"/>
      <c r="C123" s="798"/>
      <c r="D123" s="799"/>
      <c r="E123" s="802"/>
      <c r="F123" s="802"/>
      <c r="G123" s="802"/>
      <c r="H123" s="808"/>
      <c r="I123" s="798"/>
      <c r="J123" s="798"/>
      <c r="K123" s="799"/>
    </row>
    <row r="124" spans="1:14" s="61" customFormat="1" ht="15" customHeight="1" x14ac:dyDescent="0.2">
      <c r="A124" s="884" t="s">
        <v>819</v>
      </c>
      <c r="B124" s="885"/>
      <c r="C124" s="885"/>
      <c r="D124" s="886"/>
      <c r="E124" s="194" t="s">
        <v>51</v>
      </c>
      <c r="F124" s="194" t="s">
        <v>108</v>
      </c>
      <c r="G124" s="195">
        <v>286249.28000000003</v>
      </c>
      <c r="H124" s="884" t="s">
        <v>836</v>
      </c>
      <c r="I124" s="885"/>
      <c r="J124" s="885"/>
      <c r="K124" s="886"/>
      <c r="M124" s="61" t="str">
        <f t="shared" ref="M124:M148" si="10">IF(AND(A124&lt;&gt;"",L125&gt;3),"No","Yes")</f>
        <v>Yes</v>
      </c>
      <c r="N124" s="61" t="str">
        <f t="shared" ref="N124:N148" si="11">CONCATENATE(E124,F124)</f>
        <v>Support ServicesEquitable Services</v>
      </c>
    </row>
    <row r="125" spans="1:14" ht="15" customHeight="1" x14ac:dyDescent="0.2">
      <c r="A125" s="771" t="s">
        <v>837</v>
      </c>
      <c r="B125" s="772"/>
      <c r="C125" s="772"/>
      <c r="D125" s="775"/>
      <c r="E125" s="27" t="s">
        <v>94</v>
      </c>
      <c r="F125" s="27" t="s">
        <v>108</v>
      </c>
      <c r="G125" s="29">
        <v>50000</v>
      </c>
      <c r="H125" s="771" t="s">
        <v>919</v>
      </c>
      <c r="I125" s="772"/>
      <c r="J125" s="772"/>
      <c r="K125" s="775"/>
      <c r="L125" s="1">
        <f t="shared" ref="L125:L149" si="12">COUNTBLANK(E124:K124)</f>
        <v>3</v>
      </c>
      <c r="M125" s="1" t="str">
        <f t="shared" si="10"/>
        <v>Yes</v>
      </c>
      <c r="N125" s="1" t="str">
        <f t="shared" si="11"/>
        <v>AdministrationEquitable Services</v>
      </c>
    </row>
    <row r="126" spans="1:14" ht="15" customHeight="1" x14ac:dyDescent="0.2">
      <c r="A126" s="771" t="s">
        <v>914</v>
      </c>
      <c r="B126" s="772"/>
      <c r="C126" s="772"/>
      <c r="D126" s="775"/>
      <c r="E126" s="27" t="s">
        <v>51</v>
      </c>
      <c r="F126" s="27" t="s">
        <v>108</v>
      </c>
      <c r="G126" s="29">
        <v>10000</v>
      </c>
      <c r="H126" s="771" t="s">
        <v>915</v>
      </c>
      <c r="I126" s="772"/>
      <c r="J126" s="772"/>
      <c r="K126" s="775"/>
      <c r="L126" s="1">
        <f t="shared" si="12"/>
        <v>3</v>
      </c>
      <c r="M126" s="1" t="str">
        <f t="shared" si="10"/>
        <v>Yes</v>
      </c>
      <c r="N126" s="1" t="str">
        <f t="shared" si="11"/>
        <v>Support ServicesEquitable Services</v>
      </c>
    </row>
    <row r="127" spans="1:14" s="61" customFormat="1" ht="15" customHeight="1" x14ac:dyDescent="0.2">
      <c r="A127" s="957"/>
      <c r="B127" s="958"/>
      <c r="C127" s="958"/>
      <c r="D127" s="959"/>
      <c r="E127" s="27"/>
      <c r="F127" s="27"/>
      <c r="G127" s="29"/>
      <c r="H127" s="957"/>
      <c r="I127" s="958"/>
      <c r="J127" s="958"/>
      <c r="K127" s="959"/>
      <c r="L127" s="61">
        <f t="shared" si="12"/>
        <v>3</v>
      </c>
      <c r="M127" s="1" t="str">
        <f t="shared" si="10"/>
        <v>Yes</v>
      </c>
      <c r="N127" s="1" t="str">
        <f t="shared" si="11"/>
        <v/>
      </c>
    </row>
    <row r="128" spans="1:14" ht="15" customHeight="1" x14ac:dyDescent="0.2">
      <c r="A128" s="771"/>
      <c r="B128" s="772"/>
      <c r="C128" s="772"/>
      <c r="D128" s="775"/>
      <c r="E128" s="27"/>
      <c r="F128" s="27"/>
      <c r="G128" s="29"/>
      <c r="H128" s="771"/>
      <c r="I128" s="772"/>
      <c r="J128" s="772"/>
      <c r="K128" s="775"/>
      <c r="L128" s="61">
        <f t="shared" si="12"/>
        <v>7</v>
      </c>
      <c r="M128" s="1" t="str">
        <f t="shared" si="10"/>
        <v>Yes</v>
      </c>
      <c r="N128" s="1" t="str">
        <f t="shared" si="11"/>
        <v/>
      </c>
    </row>
    <row r="129" spans="1:14" ht="15" customHeight="1" x14ac:dyDescent="0.2">
      <c r="A129" s="771"/>
      <c r="B129" s="772"/>
      <c r="C129" s="772"/>
      <c r="D129" s="775"/>
      <c r="E129" s="27"/>
      <c r="F129" s="27"/>
      <c r="G129" s="29"/>
      <c r="H129" s="771"/>
      <c r="I129" s="772"/>
      <c r="J129" s="772"/>
      <c r="K129" s="775"/>
      <c r="L129" s="61">
        <f t="shared" si="12"/>
        <v>7</v>
      </c>
      <c r="M129" s="1" t="str">
        <f t="shared" si="10"/>
        <v>Yes</v>
      </c>
      <c r="N129" s="1" t="str">
        <f t="shared" si="11"/>
        <v/>
      </c>
    </row>
    <row r="130" spans="1:14" ht="15" customHeight="1" x14ac:dyDescent="0.2">
      <c r="A130" s="771"/>
      <c r="B130" s="772"/>
      <c r="C130" s="772"/>
      <c r="D130" s="775"/>
      <c r="E130" s="27"/>
      <c r="F130" s="27"/>
      <c r="G130" s="29"/>
      <c r="H130" s="771"/>
      <c r="I130" s="772"/>
      <c r="J130" s="772"/>
      <c r="K130" s="775"/>
      <c r="L130" s="1">
        <f t="shared" si="12"/>
        <v>7</v>
      </c>
      <c r="M130" s="1" t="str">
        <f t="shared" si="10"/>
        <v>Yes</v>
      </c>
      <c r="N130" s="1" t="str">
        <f t="shared" si="11"/>
        <v/>
      </c>
    </row>
    <row r="131" spans="1:14" ht="15" customHeight="1" x14ac:dyDescent="0.2">
      <c r="A131" s="771"/>
      <c r="B131" s="772"/>
      <c r="C131" s="772"/>
      <c r="D131" s="775"/>
      <c r="E131" s="27"/>
      <c r="F131" s="27"/>
      <c r="G131" s="29"/>
      <c r="H131" s="771"/>
      <c r="I131" s="772"/>
      <c r="J131" s="772"/>
      <c r="K131" s="775"/>
      <c r="L131" s="1">
        <f t="shared" si="12"/>
        <v>7</v>
      </c>
      <c r="M131" s="1" t="str">
        <f t="shared" si="10"/>
        <v>Yes</v>
      </c>
      <c r="N131" s="1" t="str">
        <f t="shared" si="11"/>
        <v/>
      </c>
    </row>
    <row r="132" spans="1:14" ht="15" customHeight="1" x14ac:dyDescent="0.2">
      <c r="A132" s="771"/>
      <c r="B132" s="772"/>
      <c r="C132" s="772"/>
      <c r="D132" s="775"/>
      <c r="E132" s="27"/>
      <c r="F132" s="27"/>
      <c r="G132" s="29"/>
      <c r="H132" s="771"/>
      <c r="I132" s="772"/>
      <c r="J132" s="772"/>
      <c r="K132" s="775"/>
      <c r="L132" s="1">
        <f t="shared" si="12"/>
        <v>7</v>
      </c>
      <c r="M132" s="1" t="str">
        <f t="shared" si="10"/>
        <v>Yes</v>
      </c>
      <c r="N132" s="1" t="str">
        <f t="shared" si="11"/>
        <v/>
      </c>
    </row>
    <row r="133" spans="1:14" ht="15" customHeight="1" x14ac:dyDescent="0.2">
      <c r="A133" s="771"/>
      <c r="B133" s="772"/>
      <c r="C133" s="772"/>
      <c r="D133" s="775"/>
      <c r="E133" s="27"/>
      <c r="F133" s="27"/>
      <c r="G133" s="29"/>
      <c r="H133" s="771"/>
      <c r="I133" s="772"/>
      <c r="J133" s="772"/>
      <c r="K133" s="775"/>
      <c r="L133" s="1">
        <f t="shared" si="12"/>
        <v>7</v>
      </c>
      <c r="M133" s="1" t="str">
        <f t="shared" si="10"/>
        <v>Yes</v>
      </c>
      <c r="N133" s="1" t="str">
        <f t="shared" si="11"/>
        <v/>
      </c>
    </row>
    <row r="134" spans="1:14" ht="15" customHeight="1" x14ac:dyDescent="0.2">
      <c r="A134" s="771"/>
      <c r="B134" s="772"/>
      <c r="C134" s="772"/>
      <c r="D134" s="775"/>
      <c r="E134" s="27"/>
      <c r="F134" s="27"/>
      <c r="G134" s="29"/>
      <c r="H134" s="771"/>
      <c r="I134" s="772"/>
      <c r="J134" s="772"/>
      <c r="K134" s="775"/>
      <c r="L134" s="1">
        <f t="shared" si="12"/>
        <v>7</v>
      </c>
      <c r="M134" s="1" t="str">
        <f t="shared" si="10"/>
        <v>Yes</v>
      </c>
      <c r="N134" s="1" t="str">
        <f t="shared" si="11"/>
        <v/>
      </c>
    </row>
    <row r="135" spans="1:14" ht="15" customHeight="1" x14ac:dyDescent="0.2">
      <c r="A135" s="771"/>
      <c r="B135" s="772"/>
      <c r="C135" s="772"/>
      <c r="D135" s="775"/>
      <c r="E135" s="27"/>
      <c r="F135" s="27"/>
      <c r="G135" s="29"/>
      <c r="H135" s="771"/>
      <c r="I135" s="772"/>
      <c r="J135" s="772"/>
      <c r="K135" s="775"/>
      <c r="L135" s="1">
        <f t="shared" si="12"/>
        <v>7</v>
      </c>
      <c r="M135" s="1" t="str">
        <f t="shared" si="10"/>
        <v>Yes</v>
      </c>
      <c r="N135" s="1" t="str">
        <f t="shared" si="11"/>
        <v/>
      </c>
    </row>
    <row r="136" spans="1:14" ht="15" customHeight="1" x14ac:dyDescent="0.2">
      <c r="A136" s="771"/>
      <c r="B136" s="772"/>
      <c r="C136" s="772"/>
      <c r="D136" s="775"/>
      <c r="E136" s="27"/>
      <c r="F136" s="27"/>
      <c r="G136" s="29"/>
      <c r="H136" s="771"/>
      <c r="I136" s="772"/>
      <c r="J136" s="772"/>
      <c r="K136" s="775"/>
      <c r="L136" s="1">
        <f t="shared" si="12"/>
        <v>7</v>
      </c>
      <c r="M136" s="1" t="str">
        <f t="shared" si="10"/>
        <v>Yes</v>
      </c>
      <c r="N136" s="1" t="str">
        <f t="shared" si="11"/>
        <v/>
      </c>
    </row>
    <row r="137" spans="1:14" ht="15" customHeight="1" x14ac:dyDescent="0.2">
      <c r="A137" s="771"/>
      <c r="B137" s="772"/>
      <c r="C137" s="772"/>
      <c r="D137" s="775"/>
      <c r="E137" s="27"/>
      <c r="F137" s="27"/>
      <c r="G137" s="29"/>
      <c r="H137" s="771"/>
      <c r="I137" s="772"/>
      <c r="J137" s="772"/>
      <c r="K137" s="775"/>
      <c r="L137" s="1">
        <f t="shared" si="12"/>
        <v>7</v>
      </c>
      <c r="M137" s="1" t="str">
        <f t="shared" si="10"/>
        <v>Yes</v>
      </c>
      <c r="N137" s="1" t="str">
        <f t="shared" si="11"/>
        <v/>
      </c>
    </row>
    <row r="138" spans="1:14" ht="15" customHeight="1" x14ac:dyDescent="0.2">
      <c r="A138" s="771"/>
      <c r="B138" s="772"/>
      <c r="C138" s="772"/>
      <c r="D138" s="775"/>
      <c r="E138" s="27"/>
      <c r="F138" s="27"/>
      <c r="G138" s="29"/>
      <c r="H138" s="771"/>
      <c r="I138" s="772"/>
      <c r="J138" s="772"/>
      <c r="K138" s="775"/>
      <c r="L138" s="1">
        <f t="shared" si="12"/>
        <v>7</v>
      </c>
      <c r="M138" s="1" t="str">
        <f t="shared" si="10"/>
        <v>Yes</v>
      </c>
      <c r="N138" s="1" t="str">
        <f t="shared" si="11"/>
        <v/>
      </c>
    </row>
    <row r="139" spans="1:14" ht="15" customHeight="1" x14ac:dyDescent="0.2">
      <c r="A139" s="771"/>
      <c r="B139" s="772"/>
      <c r="C139" s="772"/>
      <c r="D139" s="775"/>
      <c r="E139" s="27"/>
      <c r="F139" s="27"/>
      <c r="G139" s="29"/>
      <c r="H139" s="771"/>
      <c r="I139" s="772"/>
      <c r="J139" s="772"/>
      <c r="K139" s="775"/>
      <c r="L139" s="1">
        <f t="shared" si="12"/>
        <v>7</v>
      </c>
      <c r="M139" s="1" t="str">
        <f t="shared" si="10"/>
        <v>Yes</v>
      </c>
      <c r="N139" s="1" t="str">
        <f t="shared" si="11"/>
        <v/>
      </c>
    </row>
    <row r="140" spans="1:14" ht="15" customHeight="1" x14ac:dyDescent="0.2">
      <c r="A140" s="771"/>
      <c r="B140" s="772"/>
      <c r="C140" s="772"/>
      <c r="D140" s="775"/>
      <c r="E140" s="27"/>
      <c r="F140" s="27"/>
      <c r="G140" s="29"/>
      <c r="H140" s="771"/>
      <c r="I140" s="772"/>
      <c r="J140" s="772"/>
      <c r="K140" s="775"/>
      <c r="L140" s="1">
        <f t="shared" si="12"/>
        <v>7</v>
      </c>
      <c r="M140" s="1" t="str">
        <f t="shared" si="10"/>
        <v>Yes</v>
      </c>
      <c r="N140" s="1" t="str">
        <f t="shared" si="11"/>
        <v/>
      </c>
    </row>
    <row r="141" spans="1:14" ht="15" customHeight="1" x14ac:dyDescent="0.2">
      <c r="A141" s="771"/>
      <c r="B141" s="772"/>
      <c r="C141" s="772"/>
      <c r="D141" s="775"/>
      <c r="E141" s="27"/>
      <c r="F141" s="27"/>
      <c r="G141" s="29"/>
      <c r="H141" s="771"/>
      <c r="I141" s="772"/>
      <c r="J141" s="772"/>
      <c r="K141" s="775"/>
      <c r="L141" s="1">
        <f t="shared" si="12"/>
        <v>7</v>
      </c>
      <c r="M141" s="1" t="str">
        <f t="shared" si="10"/>
        <v>Yes</v>
      </c>
      <c r="N141" s="1" t="str">
        <f t="shared" si="11"/>
        <v/>
      </c>
    </row>
    <row r="142" spans="1:14" ht="15" customHeight="1" x14ac:dyDescent="0.2">
      <c r="A142" s="771"/>
      <c r="B142" s="772"/>
      <c r="C142" s="772"/>
      <c r="D142" s="775"/>
      <c r="E142" s="27"/>
      <c r="F142" s="27"/>
      <c r="G142" s="29"/>
      <c r="H142" s="771"/>
      <c r="I142" s="772"/>
      <c r="J142" s="772"/>
      <c r="K142" s="775"/>
      <c r="L142" s="1">
        <f t="shared" si="12"/>
        <v>7</v>
      </c>
      <c r="M142" s="1" t="str">
        <f t="shared" si="10"/>
        <v>Yes</v>
      </c>
      <c r="N142" s="1" t="str">
        <f t="shared" si="11"/>
        <v/>
      </c>
    </row>
    <row r="143" spans="1:14" ht="15" customHeight="1" x14ac:dyDescent="0.2">
      <c r="A143" s="771"/>
      <c r="B143" s="772"/>
      <c r="C143" s="772"/>
      <c r="D143" s="775"/>
      <c r="E143" s="27"/>
      <c r="F143" s="27"/>
      <c r="G143" s="29"/>
      <c r="H143" s="771"/>
      <c r="I143" s="772"/>
      <c r="J143" s="772"/>
      <c r="K143" s="775"/>
      <c r="L143" s="1">
        <f t="shared" si="12"/>
        <v>7</v>
      </c>
      <c r="M143" s="1" t="str">
        <f t="shared" si="10"/>
        <v>Yes</v>
      </c>
      <c r="N143" s="1" t="str">
        <f t="shared" si="11"/>
        <v/>
      </c>
    </row>
    <row r="144" spans="1:14" ht="15" customHeight="1" x14ac:dyDescent="0.2">
      <c r="A144" s="771"/>
      <c r="B144" s="772"/>
      <c r="C144" s="772"/>
      <c r="D144" s="775"/>
      <c r="E144" s="27"/>
      <c r="F144" s="27"/>
      <c r="G144" s="29"/>
      <c r="H144" s="771"/>
      <c r="I144" s="772"/>
      <c r="J144" s="772"/>
      <c r="K144" s="775"/>
      <c r="L144" s="1">
        <f t="shared" si="12"/>
        <v>7</v>
      </c>
      <c r="M144" s="1" t="str">
        <f t="shared" si="10"/>
        <v>Yes</v>
      </c>
      <c r="N144" s="1" t="str">
        <f t="shared" si="11"/>
        <v/>
      </c>
    </row>
    <row r="145" spans="1:14" ht="15" customHeight="1" x14ac:dyDescent="0.2">
      <c r="A145" s="771"/>
      <c r="B145" s="772"/>
      <c r="C145" s="772"/>
      <c r="D145" s="775"/>
      <c r="E145" s="27"/>
      <c r="F145" s="27"/>
      <c r="G145" s="29"/>
      <c r="H145" s="771"/>
      <c r="I145" s="772"/>
      <c r="J145" s="772"/>
      <c r="K145" s="775"/>
      <c r="L145" s="1">
        <f t="shared" si="12"/>
        <v>7</v>
      </c>
      <c r="M145" s="1" t="str">
        <f t="shared" si="10"/>
        <v>Yes</v>
      </c>
      <c r="N145" s="1" t="str">
        <f t="shared" si="11"/>
        <v/>
      </c>
    </row>
    <row r="146" spans="1:14" ht="15" customHeight="1" x14ac:dyDescent="0.2">
      <c r="A146" s="771"/>
      <c r="B146" s="772"/>
      <c r="C146" s="772"/>
      <c r="D146" s="775"/>
      <c r="E146" s="27"/>
      <c r="F146" s="27"/>
      <c r="G146" s="29"/>
      <c r="H146" s="771"/>
      <c r="I146" s="772"/>
      <c r="J146" s="772"/>
      <c r="K146" s="775"/>
      <c r="L146" s="1">
        <f t="shared" si="12"/>
        <v>7</v>
      </c>
      <c r="M146" s="1" t="str">
        <f t="shared" si="10"/>
        <v>Yes</v>
      </c>
      <c r="N146" s="1" t="str">
        <f t="shared" si="11"/>
        <v/>
      </c>
    </row>
    <row r="147" spans="1:14" ht="15" customHeight="1" x14ac:dyDescent="0.2">
      <c r="A147" s="771"/>
      <c r="B147" s="772"/>
      <c r="C147" s="772"/>
      <c r="D147" s="775"/>
      <c r="E147" s="27"/>
      <c r="F147" s="27"/>
      <c r="G147" s="29"/>
      <c r="H147" s="771"/>
      <c r="I147" s="772"/>
      <c r="J147" s="772"/>
      <c r="K147" s="775"/>
      <c r="L147" s="1">
        <f t="shared" si="12"/>
        <v>7</v>
      </c>
      <c r="M147" s="1" t="str">
        <f t="shared" si="10"/>
        <v>Yes</v>
      </c>
      <c r="N147" s="1" t="str">
        <f t="shared" si="11"/>
        <v/>
      </c>
    </row>
    <row r="148" spans="1:14" ht="15" customHeight="1" x14ac:dyDescent="0.2">
      <c r="A148" s="771"/>
      <c r="B148" s="772"/>
      <c r="C148" s="772"/>
      <c r="D148" s="775"/>
      <c r="E148" s="27"/>
      <c r="F148" s="27"/>
      <c r="G148" s="29"/>
      <c r="H148" s="771"/>
      <c r="I148" s="772"/>
      <c r="J148" s="772"/>
      <c r="K148" s="775"/>
      <c r="L148" s="1">
        <f t="shared" si="12"/>
        <v>7</v>
      </c>
      <c r="M148" s="1" t="str">
        <f t="shared" si="10"/>
        <v>Yes</v>
      </c>
      <c r="N148" s="1" t="str">
        <f t="shared" si="11"/>
        <v/>
      </c>
    </row>
    <row r="149" spans="1:14" ht="15" customHeight="1" x14ac:dyDescent="0.2">
      <c r="A149" s="898" t="s">
        <v>98</v>
      </c>
      <c r="B149" s="786"/>
      <c r="C149" s="786"/>
      <c r="D149" s="786"/>
      <c r="E149" s="786"/>
      <c r="F149" s="787"/>
      <c r="G149" s="788">
        <f>SUM(G124:G148)</f>
        <v>346249.28</v>
      </c>
      <c r="H149" s="789"/>
      <c r="I149" s="789"/>
      <c r="J149" s="789"/>
      <c r="K149" s="897"/>
      <c r="L149" s="1">
        <f t="shared" si="12"/>
        <v>7</v>
      </c>
      <c r="M149" s="1">
        <f>COUNTIF(M124:M148,"Yes")</f>
        <v>25</v>
      </c>
    </row>
    <row r="150" spans="1:14" ht="15" customHeight="1" x14ac:dyDescent="0.2">
      <c r="A150" s="895"/>
      <c r="B150" s="811"/>
      <c r="C150" s="811"/>
      <c r="D150" s="811"/>
      <c r="E150" s="811"/>
      <c r="F150" s="811"/>
      <c r="G150" s="811"/>
      <c r="H150" s="811"/>
      <c r="I150" s="811"/>
      <c r="J150" s="811"/>
      <c r="K150" s="896"/>
    </row>
    <row r="151" spans="1:14" ht="34.5" customHeight="1" x14ac:dyDescent="0.2">
      <c r="A151" s="899" t="s">
        <v>477</v>
      </c>
      <c r="B151" s="783"/>
      <c r="C151" s="783"/>
      <c r="D151" s="783"/>
      <c r="E151" s="783"/>
      <c r="F151" s="783"/>
      <c r="G151" s="783"/>
      <c r="H151" s="783"/>
      <c r="I151" s="783"/>
      <c r="J151" s="783"/>
      <c r="K151" s="900"/>
    </row>
    <row r="152" spans="1:14" ht="18" customHeight="1" x14ac:dyDescent="0.2">
      <c r="A152" s="899" t="s">
        <v>479</v>
      </c>
      <c r="B152" s="783"/>
      <c r="C152" s="783"/>
      <c r="D152" s="783"/>
      <c r="E152" s="783"/>
      <c r="F152" s="783"/>
      <c r="G152" s="783"/>
      <c r="H152" s="783"/>
      <c r="I152" s="783"/>
      <c r="J152" s="783"/>
      <c r="K152" s="900"/>
    </row>
    <row r="153" spans="1:14" ht="15" customHeight="1" x14ac:dyDescent="0.2">
      <c r="A153" s="804" t="s">
        <v>49</v>
      </c>
      <c r="B153" s="792"/>
      <c r="C153" s="792"/>
      <c r="D153" s="793"/>
      <c r="E153" s="800" t="s">
        <v>140</v>
      </c>
      <c r="F153" s="800" t="s">
        <v>139</v>
      </c>
      <c r="G153" s="803" t="s">
        <v>104</v>
      </c>
      <c r="H153" s="804" t="s">
        <v>53</v>
      </c>
      <c r="I153" s="792"/>
      <c r="J153" s="792"/>
      <c r="K153" s="793"/>
    </row>
    <row r="154" spans="1:14" ht="15" customHeight="1" x14ac:dyDescent="0.2">
      <c r="A154" s="806"/>
      <c r="B154" s="795"/>
      <c r="C154" s="795"/>
      <c r="D154" s="796"/>
      <c r="E154" s="801"/>
      <c r="F154" s="801"/>
      <c r="G154" s="801"/>
      <c r="H154" s="806"/>
      <c r="I154" s="795"/>
      <c r="J154" s="795"/>
      <c r="K154" s="796"/>
    </row>
    <row r="155" spans="1:14" ht="15" customHeight="1" x14ac:dyDescent="0.2">
      <c r="A155" s="806"/>
      <c r="B155" s="795"/>
      <c r="C155" s="795"/>
      <c r="D155" s="796"/>
      <c r="E155" s="801"/>
      <c r="F155" s="801"/>
      <c r="G155" s="801"/>
      <c r="H155" s="806"/>
      <c r="I155" s="795"/>
      <c r="J155" s="795"/>
      <c r="K155" s="796"/>
    </row>
    <row r="156" spans="1:14" ht="15" customHeight="1" x14ac:dyDescent="0.2">
      <c r="A156" s="806"/>
      <c r="B156" s="795"/>
      <c r="C156" s="795"/>
      <c r="D156" s="796"/>
      <c r="E156" s="801"/>
      <c r="F156" s="801"/>
      <c r="G156" s="801"/>
      <c r="H156" s="806"/>
      <c r="I156" s="795"/>
      <c r="J156" s="795"/>
      <c r="K156" s="796"/>
    </row>
    <row r="157" spans="1:14" ht="15" customHeight="1" x14ac:dyDescent="0.2">
      <c r="A157" s="806"/>
      <c r="B157" s="795"/>
      <c r="C157" s="795"/>
      <c r="D157" s="796"/>
      <c r="E157" s="801"/>
      <c r="F157" s="801"/>
      <c r="G157" s="801"/>
      <c r="H157" s="806"/>
      <c r="I157" s="795"/>
      <c r="J157" s="795"/>
      <c r="K157" s="796"/>
    </row>
    <row r="158" spans="1:14" ht="14.25" customHeight="1" x14ac:dyDescent="0.2">
      <c r="A158" s="808"/>
      <c r="B158" s="798"/>
      <c r="C158" s="798"/>
      <c r="D158" s="799"/>
      <c r="E158" s="802"/>
      <c r="F158" s="802"/>
      <c r="G158" s="802"/>
      <c r="H158" s="808"/>
      <c r="I158" s="798"/>
      <c r="J158" s="798"/>
      <c r="K158" s="799"/>
    </row>
    <row r="159" spans="1:14" ht="15" customHeight="1" x14ac:dyDescent="0.2">
      <c r="A159" s="771"/>
      <c r="B159" s="772"/>
      <c r="C159" s="772"/>
      <c r="D159" s="775"/>
      <c r="E159" s="27"/>
      <c r="F159" s="27"/>
      <c r="G159" s="29"/>
      <c r="H159" s="771"/>
      <c r="I159" s="772"/>
      <c r="J159" s="772"/>
      <c r="K159" s="775"/>
      <c r="M159" s="1" t="str">
        <f t="shared" ref="M159:M183" si="13">IF(AND(A159&lt;&gt;"",L160&gt;3),"No","Yes")</f>
        <v>Yes</v>
      </c>
      <c r="N159" s="1" t="str">
        <f t="shared" ref="N159:N183" si="14">CONCATENATE(E159,F159)</f>
        <v/>
      </c>
    </row>
    <row r="160" spans="1:14" ht="15" customHeight="1" x14ac:dyDescent="0.2">
      <c r="A160" s="771"/>
      <c r="B160" s="772"/>
      <c r="C160" s="772"/>
      <c r="D160" s="775"/>
      <c r="E160" s="27"/>
      <c r="F160" s="27"/>
      <c r="G160" s="29"/>
      <c r="H160" s="771"/>
      <c r="I160" s="772"/>
      <c r="J160" s="772"/>
      <c r="K160" s="775"/>
      <c r="L160" s="1">
        <f t="shared" ref="L160:L184" si="15">COUNTBLANK(E159:K159)</f>
        <v>7</v>
      </c>
      <c r="M160" s="1" t="str">
        <f t="shared" si="13"/>
        <v>Yes</v>
      </c>
      <c r="N160" s="1" t="str">
        <f t="shared" si="14"/>
        <v/>
      </c>
    </row>
    <row r="161" spans="1:14" ht="15" customHeight="1" x14ac:dyDescent="0.2">
      <c r="A161" s="771"/>
      <c r="B161" s="772"/>
      <c r="C161" s="772"/>
      <c r="D161" s="775"/>
      <c r="E161" s="27"/>
      <c r="F161" s="27"/>
      <c r="G161" s="29"/>
      <c r="H161" s="771"/>
      <c r="I161" s="772"/>
      <c r="J161" s="772"/>
      <c r="K161" s="775"/>
      <c r="L161" s="1">
        <f t="shared" si="15"/>
        <v>7</v>
      </c>
      <c r="M161" s="1" t="str">
        <f t="shared" si="13"/>
        <v>Yes</v>
      </c>
      <c r="N161" s="1" t="str">
        <f t="shared" si="14"/>
        <v/>
      </c>
    </row>
    <row r="162" spans="1:14" ht="15" customHeight="1" x14ac:dyDescent="0.2">
      <c r="A162" s="771"/>
      <c r="B162" s="772"/>
      <c r="C162" s="772"/>
      <c r="D162" s="775"/>
      <c r="E162" s="27"/>
      <c r="F162" s="27"/>
      <c r="G162" s="29"/>
      <c r="H162" s="771"/>
      <c r="I162" s="772"/>
      <c r="J162" s="772"/>
      <c r="K162" s="775"/>
      <c r="L162" s="1">
        <f t="shared" si="15"/>
        <v>7</v>
      </c>
      <c r="M162" s="1" t="str">
        <f t="shared" si="13"/>
        <v>Yes</v>
      </c>
      <c r="N162" s="1" t="str">
        <f t="shared" si="14"/>
        <v/>
      </c>
    </row>
    <row r="163" spans="1:14" ht="15" customHeight="1" x14ac:dyDescent="0.2">
      <c r="A163" s="771"/>
      <c r="B163" s="772"/>
      <c r="C163" s="772"/>
      <c r="D163" s="775"/>
      <c r="E163" s="27"/>
      <c r="F163" s="27"/>
      <c r="G163" s="29"/>
      <c r="H163" s="771"/>
      <c r="I163" s="772"/>
      <c r="J163" s="772"/>
      <c r="K163" s="775"/>
      <c r="L163" s="1">
        <f t="shared" si="15"/>
        <v>7</v>
      </c>
      <c r="M163" s="1" t="str">
        <f t="shared" si="13"/>
        <v>Yes</v>
      </c>
      <c r="N163" s="1" t="str">
        <f t="shared" si="14"/>
        <v/>
      </c>
    </row>
    <row r="164" spans="1:14" ht="15" customHeight="1" x14ac:dyDescent="0.2">
      <c r="A164" s="771"/>
      <c r="B164" s="772"/>
      <c r="C164" s="772"/>
      <c r="D164" s="775"/>
      <c r="E164" s="27"/>
      <c r="F164" s="27"/>
      <c r="G164" s="29"/>
      <c r="H164" s="771"/>
      <c r="I164" s="772"/>
      <c r="J164" s="772"/>
      <c r="K164" s="775"/>
      <c r="L164" s="1">
        <f t="shared" si="15"/>
        <v>7</v>
      </c>
      <c r="M164" s="1" t="str">
        <f t="shared" si="13"/>
        <v>Yes</v>
      </c>
      <c r="N164" s="1" t="str">
        <f t="shared" si="14"/>
        <v/>
      </c>
    </row>
    <row r="165" spans="1:14" ht="15" customHeight="1" x14ac:dyDescent="0.2">
      <c r="A165" s="771"/>
      <c r="B165" s="772"/>
      <c r="C165" s="772"/>
      <c r="D165" s="775"/>
      <c r="E165" s="27"/>
      <c r="F165" s="27"/>
      <c r="G165" s="29"/>
      <c r="H165" s="771"/>
      <c r="I165" s="772"/>
      <c r="J165" s="772"/>
      <c r="K165" s="775"/>
      <c r="L165" s="1">
        <f t="shared" si="15"/>
        <v>7</v>
      </c>
      <c r="M165" s="1" t="str">
        <f t="shared" si="13"/>
        <v>Yes</v>
      </c>
      <c r="N165" s="1" t="str">
        <f t="shared" si="14"/>
        <v/>
      </c>
    </row>
    <row r="166" spans="1:14" ht="15" customHeight="1" x14ac:dyDescent="0.2">
      <c r="A166" s="771"/>
      <c r="B166" s="772"/>
      <c r="C166" s="772"/>
      <c r="D166" s="775"/>
      <c r="E166" s="27"/>
      <c r="F166" s="27"/>
      <c r="G166" s="29"/>
      <c r="H166" s="771"/>
      <c r="I166" s="772"/>
      <c r="J166" s="772"/>
      <c r="K166" s="775"/>
      <c r="L166" s="1">
        <f t="shared" si="15"/>
        <v>7</v>
      </c>
      <c r="M166" s="1" t="str">
        <f t="shared" si="13"/>
        <v>Yes</v>
      </c>
      <c r="N166" s="1" t="str">
        <f t="shared" si="14"/>
        <v/>
      </c>
    </row>
    <row r="167" spans="1:14" ht="15" customHeight="1" x14ac:dyDescent="0.2">
      <c r="A167" s="771"/>
      <c r="B167" s="772"/>
      <c r="C167" s="772"/>
      <c r="D167" s="775"/>
      <c r="E167" s="27"/>
      <c r="F167" s="27"/>
      <c r="G167" s="29"/>
      <c r="H167" s="771"/>
      <c r="I167" s="772"/>
      <c r="J167" s="772"/>
      <c r="K167" s="775"/>
      <c r="L167" s="1">
        <f t="shared" si="15"/>
        <v>7</v>
      </c>
      <c r="M167" s="1" t="str">
        <f t="shared" si="13"/>
        <v>Yes</v>
      </c>
      <c r="N167" s="1" t="str">
        <f t="shared" si="14"/>
        <v/>
      </c>
    </row>
    <row r="168" spans="1:14" ht="15" customHeight="1" x14ac:dyDescent="0.2">
      <c r="A168" s="771"/>
      <c r="B168" s="772"/>
      <c r="C168" s="772"/>
      <c r="D168" s="775"/>
      <c r="E168" s="27"/>
      <c r="F168" s="27"/>
      <c r="G168" s="29"/>
      <c r="H168" s="771"/>
      <c r="I168" s="772"/>
      <c r="J168" s="772"/>
      <c r="K168" s="775"/>
      <c r="L168" s="1">
        <f t="shared" si="15"/>
        <v>7</v>
      </c>
      <c r="M168" s="1" t="str">
        <f t="shared" si="13"/>
        <v>Yes</v>
      </c>
      <c r="N168" s="1" t="str">
        <f t="shared" si="14"/>
        <v/>
      </c>
    </row>
    <row r="169" spans="1:14" ht="15" customHeight="1" x14ac:dyDescent="0.2">
      <c r="A169" s="771"/>
      <c r="B169" s="772"/>
      <c r="C169" s="772"/>
      <c r="D169" s="775"/>
      <c r="E169" s="27"/>
      <c r="F169" s="27"/>
      <c r="G169" s="29"/>
      <c r="H169" s="771"/>
      <c r="I169" s="772"/>
      <c r="J169" s="772"/>
      <c r="K169" s="775"/>
      <c r="L169" s="1">
        <f t="shared" si="15"/>
        <v>7</v>
      </c>
      <c r="M169" s="1" t="str">
        <f t="shared" si="13"/>
        <v>Yes</v>
      </c>
      <c r="N169" s="1" t="str">
        <f t="shared" si="14"/>
        <v/>
      </c>
    </row>
    <row r="170" spans="1:14" ht="15" customHeight="1" x14ac:dyDescent="0.2">
      <c r="A170" s="771"/>
      <c r="B170" s="772"/>
      <c r="C170" s="772"/>
      <c r="D170" s="775"/>
      <c r="E170" s="27"/>
      <c r="F170" s="27"/>
      <c r="G170" s="29"/>
      <c r="H170" s="771"/>
      <c r="I170" s="772"/>
      <c r="J170" s="772"/>
      <c r="K170" s="775"/>
      <c r="L170" s="1">
        <f t="shared" si="15"/>
        <v>7</v>
      </c>
      <c r="M170" s="1" t="str">
        <f t="shared" si="13"/>
        <v>Yes</v>
      </c>
      <c r="N170" s="1" t="str">
        <f t="shared" si="14"/>
        <v/>
      </c>
    </row>
    <row r="171" spans="1:14" ht="15" customHeight="1" x14ac:dyDescent="0.2">
      <c r="A171" s="771"/>
      <c r="B171" s="772"/>
      <c r="C171" s="772"/>
      <c r="D171" s="775"/>
      <c r="E171" s="27"/>
      <c r="F171" s="27"/>
      <c r="G171" s="29"/>
      <c r="H171" s="771"/>
      <c r="I171" s="772"/>
      <c r="J171" s="772"/>
      <c r="K171" s="775"/>
      <c r="L171" s="1">
        <f t="shared" si="15"/>
        <v>7</v>
      </c>
      <c r="M171" s="1" t="str">
        <f t="shared" si="13"/>
        <v>Yes</v>
      </c>
      <c r="N171" s="1" t="str">
        <f t="shared" si="14"/>
        <v/>
      </c>
    </row>
    <row r="172" spans="1:14" ht="15" customHeight="1" x14ac:dyDescent="0.2">
      <c r="A172" s="771"/>
      <c r="B172" s="772"/>
      <c r="C172" s="772"/>
      <c r="D172" s="775"/>
      <c r="E172" s="27"/>
      <c r="F172" s="27"/>
      <c r="G172" s="29"/>
      <c r="H172" s="771"/>
      <c r="I172" s="772"/>
      <c r="J172" s="772"/>
      <c r="K172" s="775"/>
      <c r="L172" s="1">
        <f t="shared" si="15"/>
        <v>7</v>
      </c>
      <c r="M172" s="1" t="str">
        <f t="shared" si="13"/>
        <v>Yes</v>
      </c>
      <c r="N172" s="1" t="str">
        <f t="shared" si="14"/>
        <v/>
      </c>
    </row>
    <row r="173" spans="1:14" ht="15" customHeight="1" x14ac:dyDescent="0.2">
      <c r="A173" s="771"/>
      <c r="B173" s="772"/>
      <c r="C173" s="772"/>
      <c r="D173" s="775"/>
      <c r="E173" s="27"/>
      <c r="F173" s="27"/>
      <c r="G173" s="29"/>
      <c r="H173" s="771"/>
      <c r="I173" s="772"/>
      <c r="J173" s="772"/>
      <c r="K173" s="775"/>
      <c r="L173" s="1">
        <f t="shared" si="15"/>
        <v>7</v>
      </c>
      <c r="M173" s="1" t="str">
        <f t="shared" si="13"/>
        <v>Yes</v>
      </c>
      <c r="N173" s="1" t="str">
        <f t="shared" si="14"/>
        <v/>
      </c>
    </row>
    <row r="174" spans="1:14" ht="15" customHeight="1" x14ac:dyDescent="0.2">
      <c r="A174" s="771"/>
      <c r="B174" s="772"/>
      <c r="C174" s="772"/>
      <c r="D174" s="775"/>
      <c r="E174" s="27"/>
      <c r="F174" s="27"/>
      <c r="G174" s="29"/>
      <c r="H174" s="771"/>
      <c r="I174" s="772"/>
      <c r="J174" s="772"/>
      <c r="K174" s="775"/>
      <c r="L174" s="1">
        <f t="shared" si="15"/>
        <v>7</v>
      </c>
      <c r="M174" s="1" t="str">
        <f t="shared" si="13"/>
        <v>Yes</v>
      </c>
      <c r="N174" s="1" t="str">
        <f t="shared" si="14"/>
        <v/>
      </c>
    </row>
    <row r="175" spans="1:14" ht="15" customHeight="1" x14ac:dyDescent="0.2">
      <c r="A175" s="771"/>
      <c r="B175" s="772"/>
      <c r="C175" s="772"/>
      <c r="D175" s="775"/>
      <c r="E175" s="27"/>
      <c r="F175" s="27"/>
      <c r="G175" s="29"/>
      <c r="H175" s="771"/>
      <c r="I175" s="772"/>
      <c r="J175" s="772"/>
      <c r="K175" s="775"/>
      <c r="L175" s="1">
        <f t="shared" si="15"/>
        <v>7</v>
      </c>
      <c r="M175" s="1" t="str">
        <f t="shared" si="13"/>
        <v>Yes</v>
      </c>
      <c r="N175" s="1" t="str">
        <f t="shared" si="14"/>
        <v/>
      </c>
    </row>
    <row r="176" spans="1:14" ht="15" customHeight="1" x14ac:dyDescent="0.2">
      <c r="A176" s="771"/>
      <c r="B176" s="772"/>
      <c r="C176" s="772"/>
      <c r="D176" s="775"/>
      <c r="E176" s="27"/>
      <c r="F176" s="27"/>
      <c r="G176" s="29"/>
      <c r="H176" s="771"/>
      <c r="I176" s="772"/>
      <c r="J176" s="772"/>
      <c r="K176" s="775"/>
      <c r="L176" s="1">
        <f t="shared" si="15"/>
        <v>7</v>
      </c>
      <c r="M176" s="1" t="str">
        <f t="shared" si="13"/>
        <v>Yes</v>
      </c>
      <c r="N176" s="1" t="str">
        <f t="shared" si="14"/>
        <v/>
      </c>
    </row>
    <row r="177" spans="1:14" ht="15" customHeight="1" x14ac:dyDescent="0.2">
      <c r="A177" s="771"/>
      <c r="B177" s="772"/>
      <c r="C177" s="772"/>
      <c r="D177" s="775"/>
      <c r="E177" s="27"/>
      <c r="F177" s="27"/>
      <c r="G177" s="29"/>
      <c r="H177" s="771"/>
      <c r="I177" s="772"/>
      <c r="J177" s="772"/>
      <c r="K177" s="775"/>
      <c r="L177" s="1">
        <f t="shared" si="15"/>
        <v>7</v>
      </c>
      <c r="M177" s="1" t="str">
        <f t="shared" si="13"/>
        <v>Yes</v>
      </c>
      <c r="N177" s="1" t="str">
        <f t="shared" si="14"/>
        <v/>
      </c>
    </row>
    <row r="178" spans="1:14" ht="15" customHeight="1" x14ac:dyDescent="0.2">
      <c r="A178" s="771"/>
      <c r="B178" s="772"/>
      <c r="C178" s="772"/>
      <c r="D178" s="775"/>
      <c r="E178" s="27"/>
      <c r="F178" s="27"/>
      <c r="G178" s="29"/>
      <c r="H178" s="771"/>
      <c r="I178" s="772"/>
      <c r="J178" s="772"/>
      <c r="K178" s="775"/>
      <c r="L178" s="1">
        <f t="shared" si="15"/>
        <v>7</v>
      </c>
      <c r="M178" s="1" t="str">
        <f t="shared" si="13"/>
        <v>Yes</v>
      </c>
      <c r="N178" s="1" t="str">
        <f t="shared" si="14"/>
        <v/>
      </c>
    </row>
    <row r="179" spans="1:14" ht="15" customHeight="1" x14ac:dyDescent="0.2">
      <c r="A179" s="771"/>
      <c r="B179" s="772"/>
      <c r="C179" s="772"/>
      <c r="D179" s="775"/>
      <c r="E179" s="27"/>
      <c r="F179" s="27"/>
      <c r="G179" s="29"/>
      <c r="H179" s="771"/>
      <c r="I179" s="772"/>
      <c r="J179" s="772"/>
      <c r="K179" s="775"/>
      <c r="L179" s="1">
        <f t="shared" si="15"/>
        <v>7</v>
      </c>
      <c r="M179" s="1" t="str">
        <f t="shared" si="13"/>
        <v>Yes</v>
      </c>
      <c r="N179" s="1" t="str">
        <f t="shared" si="14"/>
        <v/>
      </c>
    </row>
    <row r="180" spans="1:14" ht="15" customHeight="1" x14ac:dyDescent="0.2">
      <c r="A180" s="771"/>
      <c r="B180" s="772"/>
      <c r="C180" s="772"/>
      <c r="D180" s="775"/>
      <c r="E180" s="27"/>
      <c r="F180" s="27"/>
      <c r="G180" s="29"/>
      <c r="H180" s="771"/>
      <c r="I180" s="772"/>
      <c r="J180" s="772"/>
      <c r="K180" s="775"/>
      <c r="L180" s="1">
        <f t="shared" si="15"/>
        <v>7</v>
      </c>
      <c r="M180" s="1" t="str">
        <f t="shared" si="13"/>
        <v>Yes</v>
      </c>
      <c r="N180" s="1" t="str">
        <f t="shared" si="14"/>
        <v/>
      </c>
    </row>
    <row r="181" spans="1:14" ht="15" customHeight="1" x14ac:dyDescent="0.2">
      <c r="A181" s="771"/>
      <c r="B181" s="772"/>
      <c r="C181" s="772"/>
      <c r="D181" s="775"/>
      <c r="E181" s="27"/>
      <c r="F181" s="27"/>
      <c r="G181" s="29"/>
      <c r="H181" s="771"/>
      <c r="I181" s="772"/>
      <c r="J181" s="772"/>
      <c r="K181" s="775"/>
      <c r="L181" s="1">
        <f t="shared" si="15"/>
        <v>7</v>
      </c>
      <c r="M181" s="1" t="str">
        <f t="shared" si="13"/>
        <v>Yes</v>
      </c>
      <c r="N181" s="1" t="str">
        <f t="shared" si="14"/>
        <v/>
      </c>
    </row>
    <row r="182" spans="1:14" ht="15" customHeight="1" x14ac:dyDescent="0.2">
      <c r="A182" s="771"/>
      <c r="B182" s="772"/>
      <c r="C182" s="772"/>
      <c r="D182" s="775"/>
      <c r="E182" s="27"/>
      <c r="F182" s="27"/>
      <c r="G182" s="29"/>
      <c r="H182" s="771"/>
      <c r="I182" s="772"/>
      <c r="J182" s="772"/>
      <c r="K182" s="775"/>
      <c r="L182" s="1">
        <f t="shared" si="15"/>
        <v>7</v>
      </c>
      <c r="M182" s="1" t="str">
        <f t="shared" si="13"/>
        <v>Yes</v>
      </c>
      <c r="N182" s="1" t="str">
        <f t="shared" si="14"/>
        <v/>
      </c>
    </row>
    <row r="183" spans="1:14" ht="15" customHeight="1" x14ac:dyDescent="0.2">
      <c r="A183" s="771"/>
      <c r="B183" s="772"/>
      <c r="C183" s="772"/>
      <c r="D183" s="775"/>
      <c r="E183" s="27"/>
      <c r="F183" s="27"/>
      <c r="G183" s="29"/>
      <c r="H183" s="771"/>
      <c r="I183" s="772"/>
      <c r="J183" s="772"/>
      <c r="K183" s="775"/>
      <c r="L183" s="1">
        <f t="shared" si="15"/>
        <v>7</v>
      </c>
      <c r="M183" s="1" t="str">
        <f t="shared" si="13"/>
        <v>Yes</v>
      </c>
      <c r="N183" s="1" t="str">
        <f t="shared" si="14"/>
        <v/>
      </c>
    </row>
    <row r="184" spans="1:14" ht="15" customHeight="1" x14ac:dyDescent="0.2">
      <c r="A184" s="898" t="s">
        <v>99</v>
      </c>
      <c r="B184" s="786"/>
      <c r="C184" s="786"/>
      <c r="D184" s="786"/>
      <c r="E184" s="786"/>
      <c r="F184" s="787"/>
      <c r="G184" s="788">
        <f>SUM(G159:G183)</f>
        <v>0</v>
      </c>
      <c r="H184" s="789"/>
      <c r="I184" s="789"/>
      <c r="J184" s="789"/>
      <c r="K184" s="897"/>
      <c r="L184" s="1">
        <f t="shared" si="15"/>
        <v>7</v>
      </c>
      <c r="M184" s="1">
        <f>COUNTIF(M159:M183,"Yes")</f>
        <v>25</v>
      </c>
    </row>
    <row r="185" spans="1:14" ht="15" customHeight="1" x14ac:dyDescent="0.2">
      <c r="A185" s="895"/>
      <c r="B185" s="811"/>
      <c r="C185" s="811"/>
      <c r="D185" s="811"/>
      <c r="E185" s="811"/>
      <c r="F185" s="811"/>
      <c r="G185" s="811"/>
      <c r="H185" s="811"/>
      <c r="I185" s="811"/>
      <c r="J185" s="811"/>
      <c r="K185" s="896"/>
    </row>
    <row r="186" spans="1:14" ht="18" customHeight="1" x14ac:dyDescent="0.2">
      <c r="A186" s="899" t="s">
        <v>47</v>
      </c>
      <c r="B186" s="783"/>
      <c r="C186" s="783"/>
      <c r="D186" s="783"/>
      <c r="E186" s="783"/>
      <c r="F186" s="783"/>
      <c r="G186" s="783"/>
      <c r="H186" s="783"/>
      <c r="I186" s="783"/>
      <c r="J186" s="783"/>
      <c r="K186" s="900"/>
    </row>
    <row r="187" spans="1:14" ht="18" customHeight="1" x14ac:dyDescent="0.2">
      <c r="A187" s="899" t="s">
        <v>479</v>
      </c>
      <c r="B187" s="783"/>
      <c r="C187" s="783"/>
      <c r="D187" s="783"/>
      <c r="E187" s="783"/>
      <c r="F187" s="783"/>
      <c r="G187" s="783"/>
      <c r="H187" s="783"/>
      <c r="I187" s="783"/>
      <c r="J187" s="783"/>
      <c r="K187" s="900"/>
    </row>
    <row r="188" spans="1:14" ht="15" customHeight="1" x14ac:dyDescent="0.2">
      <c r="A188" s="804" t="s">
        <v>49</v>
      </c>
      <c r="B188" s="792"/>
      <c r="C188" s="792"/>
      <c r="D188" s="793"/>
      <c r="E188" s="800" t="s">
        <v>140</v>
      </c>
      <c r="F188" s="800" t="s">
        <v>139</v>
      </c>
      <c r="G188" s="803" t="s">
        <v>104</v>
      </c>
      <c r="H188" s="804" t="s">
        <v>53</v>
      </c>
      <c r="I188" s="792"/>
      <c r="J188" s="792"/>
      <c r="K188" s="793"/>
    </row>
    <row r="189" spans="1:14" ht="15" customHeight="1" x14ac:dyDescent="0.2">
      <c r="A189" s="806"/>
      <c r="B189" s="795"/>
      <c r="C189" s="795"/>
      <c r="D189" s="796"/>
      <c r="E189" s="801"/>
      <c r="F189" s="801"/>
      <c r="G189" s="801"/>
      <c r="H189" s="806"/>
      <c r="I189" s="795"/>
      <c r="J189" s="795"/>
      <c r="K189" s="796"/>
    </row>
    <row r="190" spans="1:14" ht="15" customHeight="1" x14ac:dyDescent="0.2">
      <c r="A190" s="806"/>
      <c r="B190" s="795"/>
      <c r="C190" s="795"/>
      <c r="D190" s="796"/>
      <c r="E190" s="801"/>
      <c r="F190" s="801"/>
      <c r="G190" s="801"/>
      <c r="H190" s="806"/>
      <c r="I190" s="795"/>
      <c r="J190" s="795"/>
      <c r="K190" s="796"/>
    </row>
    <row r="191" spans="1:14" ht="15" customHeight="1" x14ac:dyDescent="0.2">
      <c r="A191" s="806"/>
      <c r="B191" s="795"/>
      <c r="C191" s="795"/>
      <c r="D191" s="796"/>
      <c r="E191" s="801"/>
      <c r="F191" s="801"/>
      <c r="G191" s="801"/>
      <c r="H191" s="806"/>
      <c r="I191" s="795"/>
      <c r="J191" s="795"/>
      <c r="K191" s="796"/>
    </row>
    <row r="192" spans="1:14" ht="15" customHeight="1" x14ac:dyDescent="0.2">
      <c r="A192" s="806"/>
      <c r="B192" s="795"/>
      <c r="C192" s="795"/>
      <c r="D192" s="796"/>
      <c r="E192" s="801"/>
      <c r="F192" s="801"/>
      <c r="G192" s="801"/>
      <c r="H192" s="806"/>
      <c r="I192" s="795"/>
      <c r="J192" s="795"/>
      <c r="K192" s="796"/>
    </row>
    <row r="193" spans="1:16" ht="14.25" customHeight="1" x14ac:dyDescent="0.2">
      <c r="A193" s="808"/>
      <c r="B193" s="798"/>
      <c r="C193" s="798"/>
      <c r="D193" s="799"/>
      <c r="E193" s="802"/>
      <c r="F193" s="802"/>
      <c r="G193" s="802"/>
      <c r="H193" s="808"/>
      <c r="I193" s="798"/>
      <c r="J193" s="798"/>
      <c r="K193" s="799"/>
      <c r="P193" s="218">
        <f>SUM(G197+G124)</f>
        <v>1010439.8</v>
      </c>
    </row>
    <row r="194" spans="1:16" ht="15" customHeight="1" x14ac:dyDescent="0.2">
      <c r="A194" s="771" t="s">
        <v>838</v>
      </c>
      <c r="B194" s="772"/>
      <c r="C194" s="772"/>
      <c r="D194" s="775"/>
      <c r="E194" s="27" t="s">
        <v>51</v>
      </c>
      <c r="F194" s="27" t="s">
        <v>109</v>
      </c>
      <c r="G194" s="29">
        <v>74475</v>
      </c>
      <c r="H194" s="771" t="s">
        <v>839</v>
      </c>
      <c r="I194" s="772"/>
      <c r="J194" s="772"/>
      <c r="K194" s="775"/>
      <c r="L194" s="1">
        <f>COUNTBLANK(E194:K194)</f>
        <v>3</v>
      </c>
      <c r="M194" s="1" t="str">
        <f>IF(AND(A194&lt;&gt;"",L194&gt;3),"No","Yes")</f>
        <v>Yes</v>
      </c>
      <c r="N194" s="1" t="str">
        <f t="shared" ref="N194:N216" si="16">CONCATENATE(E194,F194)</f>
        <v>Support ServicesProf. Development</v>
      </c>
    </row>
    <row r="195" spans="1:16" ht="15" customHeight="1" x14ac:dyDescent="0.2">
      <c r="A195" s="771" t="s">
        <v>840</v>
      </c>
      <c r="B195" s="772"/>
      <c r="C195" s="772"/>
      <c r="D195" s="775"/>
      <c r="E195" s="27" t="s">
        <v>51</v>
      </c>
      <c r="F195" s="27" t="s">
        <v>109</v>
      </c>
      <c r="G195" s="29">
        <v>184850</v>
      </c>
      <c r="H195" s="771" t="s">
        <v>839</v>
      </c>
      <c r="I195" s="772"/>
      <c r="J195" s="772"/>
      <c r="K195" s="775"/>
      <c r="L195" s="1">
        <f t="shared" ref="L195:L216" si="17">COUNTBLANK(E195:K195)</f>
        <v>3</v>
      </c>
      <c r="M195" s="1" t="str">
        <f t="shared" ref="M195:M215" si="18">IF(AND(A195&lt;&gt;"",L195&gt;3),"No","Yes")</f>
        <v>Yes</v>
      </c>
      <c r="N195" s="1" t="str">
        <f t="shared" si="16"/>
        <v>Support ServicesProf. Development</v>
      </c>
    </row>
    <row r="196" spans="1:16" ht="15" customHeight="1" x14ac:dyDescent="0.2">
      <c r="A196" s="771" t="s">
        <v>841</v>
      </c>
      <c r="B196" s="772"/>
      <c r="C196" s="772"/>
      <c r="D196" s="775"/>
      <c r="E196" s="27" t="s">
        <v>51</v>
      </c>
      <c r="F196" s="27" t="s">
        <v>109</v>
      </c>
      <c r="G196" s="29">
        <v>2200</v>
      </c>
      <c r="H196" s="771" t="s">
        <v>839</v>
      </c>
      <c r="I196" s="772"/>
      <c r="J196" s="772"/>
      <c r="K196" s="775"/>
      <c r="L196" s="1">
        <f t="shared" si="17"/>
        <v>3</v>
      </c>
      <c r="M196" s="1" t="str">
        <f t="shared" si="18"/>
        <v>Yes</v>
      </c>
      <c r="N196" s="1" t="str">
        <f t="shared" si="16"/>
        <v>Support ServicesProf. Development</v>
      </c>
    </row>
    <row r="197" spans="1:16" ht="15" customHeight="1" x14ac:dyDescent="0.2">
      <c r="A197" s="884" t="s">
        <v>1034</v>
      </c>
      <c r="B197" s="885"/>
      <c r="C197" s="885"/>
      <c r="D197" s="886"/>
      <c r="E197" s="194" t="s">
        <v>51</v>
      </c>
      <c r="F197" s="194" t="s">
        <v>108</v>
      </c>
      <c r="G197" s="195">
        <v>724190.52</v>
      </c>
      <c r="H197" s="884" t="s">
        <v>1035</v>
      </c>
      <c r="I197" s="885"/>
      <c r="J197" s="885"/>
      <c r="K197" s="886"/>
      <c r="L197" s="1">
        <f t="shared" si="17"/>
        <v>3</v>
      </c>
      <c r="M197" s="1" t="str">
        <f t="shared" si="18"/>
        <v>Yes</v>
      </c>
      <c r="N197" s="1" t="str">
        <f t="shared" si="16"/>
        <v>Support ServicesEquitable Services</v>
      </c>
    </row>
    <row r="198" spans="1:16" ht="15" customHeight="1" x14ac:dyDescent="0.2">
      <c r="A198" s="771"/>
      <c r="B198" s="772"/>
      <c r="C198" s="772"/>
      <c r="D198" s="775"/>
      <c r="E198" s="27"/>
      <c r="F198" s="27"/>
      <c r="G198" s="29"/>
      <c r="H198" s="771"/>
      <c r="I198" s="772"/>
      <c r="J198" s="772"/>
      <c r="K198" s="775"/>
      <c r="L198" s="1">
        <f t="shared" si="17"/>
        <v>7</v>
      </c>
      <c r="M198" s="1" t="str">
        <f t="shared" si="18"/>
        <v>Yes</v>
      </c>
      <c r="N198" s="1" t="str">
        <f t="shared" si="16"/>
        <v/>
      </c>
    </row>
    <row r="199" spans="1:16" ht="15" customHeight="1" x14ac:dyDescent="0.2">
      <c r="A199" s="771"/>
      <c r="B199" s="772"/>
      <c r="C199" s="772"/>
      <c r="D199" s="775"/>
      <c r="E199" s="27"/>
      <c r="F199" s="27"/>
      <c r="G199" s="29"/>
      <c r="H199" s="771"/>
      <c r="I199" s="772"/>
      <c r="J199" s="772"/>
      <c r="K199" s="775"/>
      <c r="L199" s="1">
        <f t="shared" si="17"/>
        <v>7</v>
      </c>
      <c r="M199" s="1" t="str">
        <f t="shared" si="18"/>
        <v>Yes</v>
      </c>
      <c r="N199" s="1" t="str">
        <f t="shared" si="16"/>
        <v/>
      </c>
    </row>
    <row r="200" spans="1:16" ht="15" customHeight="1" x14ac:dyDescent="0.2">
      <c r="A200" s="771"/>
      <c r="B200" s="772"/>
      <c r="C200" s="772"/>
      <c r="D200" s="775"/>
      <c r="E200" s="27"/>
      <c r="F200" s="27"/>
      <c r="G200" s="29"/>
      <c r="H200" s="771"/>
      <c r="I200" s="772"/>
      <c r="J200" s="772"/>
      <c r="K200" s="775"/>
      <c r="L200" s="1">
        <f t="shared" si="17"/>
        <v>7</v>
      </c>
      <c r="M200" s="1" t="str">
        <f t="shared" si="18"/>
        <v>Yes</v>
      </c>
      <c r="N200" s="1" t="str">
        <f t="shared" si="16"/>
        <v/>
      </c>
    </row>
    <row r="201" spans="1:16" ht="15" customHeight="1" x14ac:dyDescent="0.2">
      <c r="A201" s="771"/>
      <c r="B201" s="772"/>
      <c r="C201" s="772"/>
      <c r="D201" s="775"/>
      <c r="E201" s="27"/>
      <c r="F201" s="27"/>
      <c r="G201" s="29"/>
      <c r="H201" s="771"/>
      <c r="I201" s="772"/>
      <c r="J201" s="772"/>
      <c r="K201" s="775"/>
      <c r="L201" s="1">
        <f t="shared" si="17"/>
        <v>7</v>
      </c>
      <c r="M201" s="1" t="str">
        <f t="shared" si="18"/>
        <v>Yes</v>
      </c>
      <c r="N201" s="1" t="str">
        <f t="shared" si="16"/>
        <v/>
      </c>
    </row>
    <row r="202" spans="1:16" ht="15" customHeight="1" x14ac:dyDescent="0.2">
      <c r="A202" s="771"/>
      <c r="B202" s="772"/>
      <c r="C202" s="772"/>
      <c r="D202" s="775"/>
      <c r="E202" s="27"/>
      <c r="F202" s="27"/>
      <c r="G202" s="29"/>
      <c r="H202" s="771"/>
      <c r="I202" s="772"/>
      <c r="J202" s="772"/>
      <c r="K202" s="775"/>
      <c r="L202" s="1">
        <f t="shared" si="17"/>
        <v>7</v>
      </c>
      <c r="M202" s="1" t="str">
        <f t="shared" si="18"/>
        <v>Yes</v>
      </c>
      <c r="N202" s="1" t="str">
        <f t="shared" si="16"/>
        <v/>
      </c>
    </row>
    <row r="203" spans="1:16" ht="15" customHeight="1" x14ac:dyDescent="0.2">
      <c r="A203" s="771"/>
      <c r="B203" s="772"/>
      <c r="C203" s="772"/>
      <c r="D203" s="775"/>
      <c r="E203" s="27"/>
      <c r="F203" s="27"/>
      <c r="G203" s="29"/>
      <c r="H203" s="771"/>
      <c r="I203" s="772"/>
      <c r="J203" s="772"/>
      <c r="K203" s="775"/>
      <c r="L203" s="1">
        <f t="shared" si="17"/>
        <v>7</v>
      </c>
      <c r="M203" s="1" t="str">
        <f t="shared" si="18"/>
        <v>Yes</v>
      </c>
      <c r="N203" s="1" t="str">
        <f t="shared" si="16"/>
        <v/>
      </c>
    </row>
    <row r="204" spans="1:16" ht="15" customHeight="1" x14ac:dyDescent="0.2">
      <c r="A204" s="771"/>
      <c r="B204" s="772"/>
      <c r="C204" s="772"/>
      <c r="D204" s="775"/>
      <c r="E204" s="27"/>
      <c r="F204" s="27"/>
      <c r="G204" s="29"/>
      <c r="H204" s="771"/>
      <c r="I204" s="772"/>
      <c r="J204" s="772"/>
      <c r="K204" s="775"/>
      <c r="L204" s="1">
        <f t="shared" si="17"/>
        <v>7</v>
      </c>
      <c r="M204" s="1" t="str">
        <f t="shared" si="18"/>
        <v>Yes</v>
      </c>
      <c r="N204" s="1" t="str">
        <f t="shared" si="16"/>
        <v/>
      </c>
    </row>
    <row r="205" spans="1:16" ht="15" customHeight="1" x14ac:dyDescent="0.2">
      <c r="A205" s="771"/>
      <c r="B205" s="772"/>
      <c r="C205" s="772"/>
      <c r="D205" s="775"/>
      <c r="E205" s="27"/>
      <c r="F205" s="27"/>
      <c r="G205" s="29"/>
      <c r="H205" s="771"/>
      <c r="I205" s="772"/>
      <c r="J205" s="772"/>
      <c r="K205" s="775"/>
      <c r="L205" s="1">
        <f t="shared" si="17"/>
        <v>7</v>
      </c>
      <c r="M205" s="1" t="str">
        <f t="shared" si="18"/>
        <v>Yes</v>
      </c>
      <c r="N205" s="1" t="str">
        <f t="shared" si="16"/>
        <v/>
      </c>
    </row>
    <row r="206" spans="1:16" ht="15" customHeight="1" x14ac:dyDescent="0.2">
      <c r="A206" s="771"/>
      <c r="B206" s="772"/>
      <c r="C206" s="772"/>
      <c r="D206" s="775"/>
      <c r="E206" s="27"/>
      <c r="F206" s="27"/>
      <c r="G206" s="29"/>
      <c r="H206" s="771"/>
      <c r="I206" s="772"/>
      <c r="J206" s="772"/>
      <c r="K206" s="775"/>
      <c r="L206" s="1">
        <f t="shared" si="17"/>
        <v>7</v>
      </c>
      <c r="M206" s="1" t="str">
        <f t="shared" si="18"/>
        <v>Yes</v>
      </c>
      <c r="N206" s="1" t="str">
        <f t="shared" si="16"/>
        <v/>
      </c>
    </row>
    <row r="207" spans="1:16" ht="15" customHeight="1" x14ac:dyDescent="0.2">
      <c r="A207" s="771"/>
      <c r="B207" s="772"/>
      <c r="C207" s="772"/>
      <c r="D207" s="775"/>
      <c r="E207" s="27"/>
      <c r="F207" s="27"/>
      <c r="G207" s="29"/>
      <c r="H207" s="771"/>
      <c r="I207" s="772"/>
      <c r="J207" s="772"/>
      <c r="K207" s="775"/>
      <c r="L207" s="1">
        <f t="shared" si="17"/>
        <v>7</v>
      </c>
      <c r="M207" s="1" t="str">
        <f t="shared" si="18"/>
        <v>Yes</v>
      </c>
      <c r="N207" s="1" t="str">
        <f t="shared" si="16"/>
        <v/>
      </c>
    </row>
    <row r="208" spans="1:16" ht="15" customHeight="1" x14ac:dyDescent="0.2">
      <c r="A208" s="771"/>
      <c r="B208" s="772"/>
      <c r="C208" s="772"/>
      <c r="D208" s="775"/>
      <c r="E208" s="27"/>
      <c r="F208" s="27"/>
      <c r="G208" s="29"/>
      <c r="H208" s="771"/>
      <c r="I208" s="772"/>
      <c r="J208" s="772"/>
      <c r="K208" s="775"/>
      <c r="L208" s="1">
        <f t="shared" si="17"/>
        <v>7</v>
      </c>
      <c r="M208" s="1" t="str">
        <f t="shared" si="18"/>
        <v>Yes</v>
      </c>
      <c r="N208" s="1" t="str">
        <f t="shared" si="16"/>
        <v/>
      </c>
      <c r="P208" s="218">
        <f>SUM(G217+G149+K44)</f>
        <v>5765141.8799999999</v>
      </c>
    </row>
    <row r="209" spans="1:17" ht="15" customHeight="1" x14ac:dyDescent="0.2">
      <c r="A209" s="771"/>
      <c r="B209" s="772"/>
      <c r="C209" s="772"/>
      <c r="D209" s="775"/>
      <c r="E209" s="27"/>
      <c r="F209" s="27"/>
      <c r="G209" s="29"/>
      <c r="H209" s="771"/>
      <c r="I209" s="772"/>
      <c r="J209" s="772"/>
      <c r="K209" s="775"/>
      <c r="L209" s="1">
        <f t="shared" si="17"/>
        <v>7</v>
      </c>
      <c r="M209" s="1" t="str">
        <f t="shared" si="18"/>
        <v>Yes</v>
      </c>
      <c r="N209" s="1" t="str">
        <f t="shared" si="16"/>
        <v/>
      </c>
    </row>
    <row r="210" spans="1:17" ht="15" customHeight="1" x14ac:dyDescent="0.2">
      <c r="A210" s="771"/>
      <c r="B210" s="772"/>
      <c r="C210" s="772"/>
      <c r="D210" s="775"/>
      <c r="E210" s="27"/>
      <c r="F210" s="27"/>
      <c r="G210" s="29"/>
      <c r="H210" s="771"/>
      <c r="I210" s="772"/>
      <c r="J210" s="772"/>
      <c r="K210" s="775"/>
      <c r="L210" s="1">
        <f t="shared" si="17"/>
        <v>7</v>
      </c>
      <c r="M210" s="1" t="str">
        <f t="shared" si="18"/>
        <v>Yes</v>
      </c>
      <c r="N210" s="1" t="str">
        <f t="shared" si="16"/>
        <v/>
      </c>
    </row>
    <row r="211" spans="1:17" ht="15" customHeight="1" x14ac:dyDescent="0.2">
      <c r="A211" s="771"/>
      <c r="B211" s="772"/>
      <c r="C211" s="772"/>
      <c r="D211" s="775"/>
      <c r="E211" s="27"/>
      <c r="F211" s="27"/>
      <c r="G211" s="29"/>
      <c r="H211" s="771"/>
      <c r="I211" s="772"/>
      <c r="J211" s="772"/>
      <c r="K211" s="775"/>
      <c r="L211" s="1">
        <f t="shared" si="17"/>
        <v>7</v>
      </c>
      <c r="M211" s="1" t="str">
        <f t="shared" si="18"/>
        <v>Yes</v>
      </c>
      <c r="N211" s="1" t="str">
        <f t="shared" si="16"/>
        <v/>
      </c>
    </row>
    <row r="212" spans="1:17" ht="15" customHeight="1" x14ac:dyDescent="0.2">
      <c r="A212" s="771"/>
      <c r="B212" s="772"/>
      <c r="C212" s="772"/>
      <c r="D212" s="775"/>
      <c r="E212" s="27"/>
      <c r="F212" s="27"/>
      <c r="G212" s="29"/>
      <c r="H212" s="771"/>
      <c r="I212" s="772"/>
      <c r="J212" s="772"/>
      <c r="K212" s="775"/>
      <c r="L212" s="1">
        <f t="shared" si="17"/>
        <v>7</v>
      </c>
      <c r="M212" s="1" t="str">
        <f t="shared" si="18"/>
        <v>Yes</v>
      </c>
      <c r="N212" s="1" t="str">
        <f t="shared" si="16"/>
        <v/>
      </c>
    </row>
    <row r="213" spans="1:17" ht="15" customHeight="1" x14ac:dyDescent="0.2">
      <c r="A213" s="771"/>
      <c r="B213" s="772"/>
      <c r="C213" s="772"/>
      <c r="D213" s="775"/>
      <c r="E213" s="27"/>
      <c r="F213" s="27"/>
      <c r="G213" s="29"/>
      <c r="H213" s="771"/>
      <c r="I213" s="772"/>
      <c r="J213" s="772"/>
      <c r="K213" s="775"/>
      <c r="L213" s="1">
        <f t="shared" si="17"/>
        <v>7</v>
      </c>
      <c r="M213" s="1" t="str">
        <f t="shared" si="18"/>
        <v>Yes</v>
      </c>
      <c r="N213" s="1" t="str">
        <f t="shared" si="16"/>
        <v/>
      </c>
    </row>
    <row r="214" spans="1:17" ht="15" customHeight="1" x14ac:dyDescent="0.2">
      <c r="A214" s="771"/>
      <c r="B214" s="772"/>
      <c r="C214" s="772"/>
      <c r="D214" s="775"/>
      <c r="E214" s="27"/>
      <c r="F214" s="27"/>
      <c r="G214" s="29"/>
      <c r="H214" s="771"/>
      <c r="I214" s="772"/>
      <c r="J214" s="772"/>
      <c r="K214" s="775"/>
      <c r="L214" s="1">
        <f t="shared" si="17"/>
        <v>7</v>
      </c>
      <c r="M214" s="1" t="str">
        <f t="shared" si="18"/>
        <v>Yes</v>
      </c>
      <c r="N214" s="1" t="str">
        <f t="shared" si="16"/>
        <v/>
      </c>
      <c r="P214" s="219"/>
    </row>
    <row r="215" spans="1:17" ht="15" customHeight="1" x14ac:dyDescent="0.2">
      <c r="A215" s="771"/>
      <c r="B215" s="772"/>
      <c r="C215" s="772"/>
      <c r="D215" s="775"/>
      <c r="E215" s="27"/>
      <c r="F215" s="27"/>
      <c r="G215" s="29"/>
      <c r="H215" s="771"/>
      <c r="I215" s="772"/>
      <c r="J215" s="772"/>
      <c r="K215" s="775"/>
      <c r="L215" s="1">
        <f t="shared" si="17"/>
        <v>7</v>
      </c>
      <c r="M215" s="1" t="str">
        <f t="shared" si="18"/>
        <v>Yes</v>
      </c>
      <c r="N215" s="1" t="str">
        <f t="shared" si="16"/>
        <v/>
      </c>
      <c r="P215" s="218"/>
    </row>
    <row r="216" spans="1:17" ht="15" customHeight="1" x14ac:dyDescent="0.2">
      <c r="A216" s="771"/>
      <c r="B216" s="772"/>
      <c r="C216" s="772"/>
      <c r="D216" s="775"/>
      <c r="E216" s="27"/>
      <c r="F216" s="27"/>
      <c r="G216" s="29"/>
      <c r="H216" s="771"/>
      <c r="I216" s="772"/>
      <c r="J216" s="772"/>
      <c r="K216" s="775"/>
      <c r="L216" s="1">
        <f t="shared" si="17"/>
        <v>7</v>
      </c>
      <c r="M216" s="1" t="str">
        <f t="shared" ref="M216" si="19">IF(AND(A216&lt;&gt;"",L217&gt;3),"No","Yes")</f>
        <v>Yes</v>
      </c>
      <c r="N216" s="1" t="str">
        <f t="shared" si="16"/>
        <v/>
      </c>
      <c r="P216" s="218"/>
      <c r="Q216" s="218"/>
    </row>
    <row r="217" spans="1:17" ht="15" customHeight="1" x14ac:dyDescent="0.2">
      <c r="A217" s="898" t="s">
        <v>100</v>
      </c>
      <c r="B217" s="786"/>
      <c r="C217" s="786"/>
      <c r="D217" s="786"/>
      <c r="E217" s="786"/>
      <c r="F217" s="787"/>
      <c r="G217" s="788">
        <f>SUM(G194:G216)</f>
        <v>985715.52</v>
      </c>
      <c r="H217" s="789"/>
      <c r="I217" s="789"/>
      <c r="J217" s="789"/>
      <c r="K217" s="897"/>
      <c r="L217" s="1">
        <f t="shared" ref="L217" si="20">COUNTBLANK(E216:K216)</f>
        <v>7</v>
      </c>
      <c r="M217" s="1">
        <f>COUNTIF(M194:M216,"Yes")</f>
        <v>23</v>
      </c>
    </row>
  </sheetData>
  <sheetProtection formatRows="0"/>
  <mergeCells count="364">
    <mergeCell ref="A14:B14"/>
    <mergeCell ref="H14:K14"/>
    <mergeCell ref="A1:K2"/>
    <mergeCell ref="A3:K4"/>
    <mergeCell ref="A5:K6"/>
    <mergeCell ref="A7:B13"/>
    <mergeCell ref="C7:C13"/>
    <mergeCell ref="D7:D13"/>
    <mergeCell ref="E7:E13"/>
    <mergeCell ref="F7:F13"/>
    <mergeCell ref="G7:G13"/>
    <mergeCell ref="H7:K13"/>
    <mergeCell ref="A18:B18"/>
    <mergeCell ref="H18:K18"/>
    <mergeCell ref="A19:B19"/>
    <mergeCell ref="H19:K19"/>
    <mergeCell ref="A15:B15"/>
    <mergeCell ref="H15:K15"/>
    <mergeCell ref="A16:B16"/>
    <mergeCell ref="H16:K16"/>
    <mergeCell ref="A17:B17"/>
    <mergeCell ref="H17:K17"/>
    <mergeCell ref="A27:B27"/>
    <mergeCell ref="H27:K27"/>
    <mergeCell ref="A28:B28"/>
    <mergeCell ref="H28:K28"/>
    <mergeCell ref="A20:B20"/>
    <mergeCell ref="H20:K20"/>
    <mergeCell ref="A21:B21"/>
    <mergeCell ref="H21:K21"/>
    <mergeCell ref="A26:B26"/>
    <mergeCell ref="H26:K26"/>
    <mergeCell ref="H24:K24"/>
    <mergeCell ref="A24:B24"/>
    <mergeCell ref="A22:B22"/>
    <mergeCell ref="H22:K22"/>
    <mergeCell ref="A23:B23"/>
    <mergeCell ref="H23:K23"/>
    <mergeCell ref="A32:B32"/>
    <mergeCell ref="H32:K32"/>
    <mergeCell ref="A33:B33"/>
    <mergeCell ref="H33:K33"/>
    <mergeCell ref="A34:B34"/>
    <mergeCell ref="H34:K34"/>
    <mergeCell ref="A29:B29"/>
    <mergeCell ref="H29:K29"/>
    <mergeCell ref="A30:B30"/>
    <mergeCell ref="H30:K30"/>
    <mergeCell ref="A31:B31"/>
    <mergeCell ref="H31:K31"/>
    <mergeCell ref="A44:D44"/>
    <mergeCell ref="G44:J44"/>
    <mergeCell ref="A45:K45"/>
    <mergeCell ref="A46:K46"/>
    <mergeCell ref="A35:B35"/>
    <mergeCell ref="H35:K35"/>
    <mergeCell ref="A36:B36"/>
    <mergeCell ref="H36:K36"/>
    <mergeCell ref="A42:B42"/>
    <mergeCell ref="H42:K42"/>
    <mergeCell ref="A43:B43"/>
    <mergeCell ref="H43:K43"/>
    <mergeCell ref="A37:B37"/>
    <mergeCell ref="H37:K37"/>
    <mergeCell ref="A38:B38"/>
    <mergeCell ref="H38:K38"/>
    <mergeCell ref="A39:B39"/>
    <mergeCell ref="H39:K39"/>
    <mergeCell ref="A40:B40"/>
    <mergeCell ref="H40:K40"/>
    <mergeCell ref="A54:D54"/>
    <mergeCell ref="H54:K54"/>
    <mergeCell ref="A55:D55"/>
    <mergeCell ref="H55:K55"/>
    <mergeCell ref="A56:D56"/>
    <mergeCell ref="H56:K56"/>
    <mergeCell ref="A47:K47"/>
    <mergeCell ref="A48:D53"/>
    <mergeCell ref="E48:E53"/>
    <mergeCell ref="F48:F53"/>
    <mergeCell ref="G48:G53"/>
    <mergeCell ref="H48:K53"/>
    <mergeCell ref="A60:D60"/>
    <mergeCell ref="H60:K60"/>
    <mergeCell ref="A61:D61"/>
    <mergeCell ref="H61:K61"/>
    <mergeCell ref="A62:D62"/>
    <mergeCell ref="H62:K62"/>
    <mergeCell ref="A57:D57"/>
    <mergeCell ref="H57:K57"/>
    <mergeCell ref="A58:D58"/>
    <mergeCell ref="H58:K58"/>
    <mergeCell ref="A59:D59"/>
    <mergeCell ref="H59:K59"/>
    <mergeCell ref="A66:D66"/>
    <mergeCell ref="H66:K66"/>
    <mergeCell ref="A67:D67"/>
    <mergeCell ref="H67:K67"/>
    <mergeCell ref="A68:D68"/>
    <mergeCell ref="H68:K68"/>
    <mergeCell ref="A63:D63"/>
    <mergeCell ref="H63:K63"/>
    <mergeCell ref="A64:D64"/>
    <mergeCell ref="H64:K64"/>
    <mergeCell ref="A65:D65"/>
    <mergeCell ref="H65:K65"/>
    <mergeCell ref="A72:D72"/>
    <mergeCell ref="H72:K72"/>
    <mergeCell ref="A73:D73"/>
    <mergeCell ref="H73:K73"/>
    <mergeCell ref="A74:D74"/>
    <mergeCell ref="H74:K74"/>
    <mergeCell ref="A69:D69"/>
    <mergeCell ref="H69:K69"/>
    <mergeCell ref="A70:D70"/>
    <mergeCell ref="H70:K70"/>
    <mergeCell ref="A71:D71"/>
    <mergeCell ref="H71:K71"/>
    <mergeCell ref="A78:D78"/>
    <mergeCell ref="H78:K78"/>
    <mergeCell ref="A79:F79"/>
    <mergeCell ref="G79:K79"/>
    <mergeCell ref="A80:K80"/>
    <mergeCell ref="A81:K81"/>
    <mergeCell ref="A75:D75"/>
    <mergeCell ref="H75:K75"/>
    <mergeCell ref="A76:D76"/>
    <mergeCell ref="H76:K76"/>
    <mergeCell ref="A77:D77"/>
    <mergeCell ref="H77:K77"/>
    <mergeCell ref="A89:D89"/>
    <mergeCell ref="H89:K89"/>
    <mergeCell ref="A90:D90"/>
    <mergeCell ref="H90:K90"/>
    <mergeCell ref="A91:D91"/>
    <mergeCell ref="H91:K91"/>
    <mergeCell ref="A82:K82"/>
    <mergeCell ref="A83:D88"/>
    <mergeCell ref="E83:E88"/>
    <mergeCell ref="F83:F88"/>
    <mergeCell ref="G83:G88"/>
    <mergeCell ref="H83:K88"/>
    <mergeCell ref="A95:D95"/>
    <mergeCell ref="H95:K95"/>
    <mergeCell ref="A96:D96"/>
    <mergeCell ref="H96:K96"/>
    <mergeCell ref="A97:D97"/>
    <mergeCell ref="H97:K97"/>
    <mergeCell ref="A92:D92"/>
    <mergeCell ref="H92:K92"/>
    <mergeCell ref="A93:D93"/>
    <mergeCell ref="H93:K93"/>
    <mergeCell ref="A94:D94"/>
    <mergeCell ref="H94:K94"/>
    <mergeCell ref="A101:D101"/>
    <mergeCell ref="H101:K101"/>
    <mergeCell ref="A102:D102"/>
    <mergeCell ref="H102:K102"/>
    <mergeCell ref="A103:D103"/>
    <mergeCell ref="H103:K103"/>
    <mergeCell ref="A98:D98"/>
    <mergeCell ref="H98:K98"/>
    <mergeCell ref="A99:D99"/>
    <mergeCell ref="H99:K99"/>
    <mergeCell ref="A100:D100"/>
    <mergeCell ref="H100:K100"/>
    <mergeCell ref="A107:D107"/>
    <mergeCell ref="H107:K107"/>
    <mergeCell ref="A108:D108"/>
    <mergeCell ref="H108:K108"/>
    <mergeCell ref="A109:D109"/>
    <mergeCell ref="H109:K109"/>
    <mergeCell ref="A104:D104"/>
    <mergeCell ref="H104:K104"/>
    <mergeCell ref="A105:D105"/>
    <mergeCell ref="H105:K105"/>
    <mergeCell ref="A106:D106"/>
    <mergeCell ref="H106:K106"/>
    <mergeCell ref="A113:D113"/>
    <mergeCell ref="H113:K113"/>
    <mergeCell ref="A114:F114"/>
    <mergeCell ref="G114:K114"/>
    <mergeCell ref="A115:K115"/>
    <mergeCell ref="A116:K116"/>
    <mergeCell ref="A110:D110"/>
    <mergeCell ref="H110:K110"/>
    <mergeCell ref="A111:D111"/>
    <mergeCell ref="H111:K111"/>
    <mergeCell ref="A112:D112"/>
    <mergeCell ref="H112:K112"/>
    <mergeCell ref="A124:D124"/>
    <mergeCell ref="H124:K124"/>
    <mergeCell ref="A125:D125"/>
    <mergeCell ref="H125:K125"/>
    <mergeCell ref="A126:D126"/>
    <mergeCell ref="H126:K126"/>
    <mergeCell ref="A117:K117"/>
    <mergeCell ref="A118:D123"/>
    <mergeCell ref="E118:E123"/>
    <mergeCell ref="F118:F123"/>
    <mergeCell ref="G118:G123"/>
    <mergeCell ref="H118:K123"/>
    <mergeCell ref="A197:D197"/>
    <mergeCell ref="H197:K197"/>
    <mergeCell ref="A128:D128"/>
    <mergeCell ref="H128:K128"/>
    <mergeCell ref="A129:D129"/>
    <mergeCell ref="H129:K129"/>
    <mergeCell ref="A136:D136"/>
    <mergeCell ref="H136:K136"/>
    <mergeCell ref="A137:D137"/>
    <mergeCell ref="H137:K137"/>
    <mergeCell ref="A138:D138"/>
    <mergeCell ref="H138:K138"/>
    <mergeCell ref="A133:D133"/>
    <mergeCell ref="H133:K133"/>
    <mergeCell ref="A134:D134"/>
    <mergeCell ref="H134:K134"/>
    <mergeCell ref="A135:D135"/>
    <mergeCell ref="H135:K135"/>
    <mergeCell ref="A139:D139"/>
    <mergeCell ref="H139:K139"/>
    <mergeCell ref="A140:D140"/>
    <mergeCell ref="H140:K140"/>
    <mergeCell ref="A141:D141"/>
    <mergeCell ref="H141:K141"/>
    <mergeCell ref="A130:D130"/>
    <mergeCell ref="H130:K130"/>
    <mergeCell ref="A131:D131"/>
    <mergeCell ref="H131:K131"/>
    <mergeCell ref="A132:D132"/>
    <mergeCell ref="H132:K132"/>
    <mergeCell ref="A145:D145"/>
    <mergeCell ref="H145:K145"/>
    <mergeCell ref="A146:D146"/>
    <mergeCell ref="H146:K146"/>
    <mergeCell ref="A147:D147"/>
    <mergeCell ref="H147:K147"/>
    <mergeCell ref="A142:D142"/>
    <mergeCell ref="H142:K142"/>
    <mergeCell ref="A143:D143"/>
    <mergeCell ref="H143:K143"/>
    <mergeCell ref="A144:D144"/>
    <mergeCell ref="H144:K144"/>
    <mergeCell ref="A152:K152"/>
    <mergeCell ref="A153:D158"/>
    <mergeCell ref="E153:E158"/>
    <mergeCell ref="F153:F158"/>
    <mergeCell ref="G153:G158"/>
    <mergeCell ref="H153:K158"/>
    <mergeCell ref="A148:D148"/>
    <mergeCell ref="H148:K148"/>
    <mergeCell ref="A149:F149"/>
    <mergeCell ref="G149:K149"/>
    <mergeCell ref="A150:K150"/>
    <mergeCell ref="A151:K151"/>
    <mergeCell ref="A162:D162"/>
    <mergeCell ref="H162:K162"/>
    <mergeCell ref="A163:D163"/>
    <mergeCell ref="H163:K163"/>
    <mergeCell ref="A164:D164"/>
    <mergeCell ref="H164:K164"/>
    <mergeCell ref="A159:D159"/>
    <mergeCell ref="H159:K159"/>
    <mergeCell ref="A160:D160"/>
    <mergeCell ref="H160:K160"/>
    <mergeCell ref="A161:D161"/>
    <mergeCell ref="H161:K161"/>
    <mergeCell ref="A168:D168"/>
    <mergeCell ref="H168:K168"/>
    <mergeCell ref="A169:D169"/>
    <mergeCell ref="H169:K169"/>
    <mergeCell ref="A170:D170"/>
    <mergeCell ref="H170:K170"/>
    <mergeCell ref="A165:D165"/>
    <mergeCell ref="H165:K165"/>
    <mergeCell ref="A166:D166"/>
    <mergeCell ref="H166:K166"/>
    <mergeCell ref="A167:D167"/>
    <mergeCell ref="H167:K167"/>
    <mergeCell ref="A174:D174"/>
    <mergeCell ref="H174:K174"/>
    <mergeCell ref="A175:D175"/>
    <mergeCell ref="H175:K175"/>
    <mergeCell ref="A176:D176"/>
    <mergeCell ref="H176:K176"/>
    <mergeCell ref="A171:D171"/>
    <mergeCell ref="H171:K171"/>
    <mergeCell ref="A172:D172"/>
    <mergeCell ref="H172:K172"/>
    <mergeCell ref="A173:D173"/>
    <mergeCell ref="H173:K173"/>
    <mergeCell ref="A180:D180"/>
    <mergeCell ref="H180:K180"/>
    <mergeCell ref="A181:D181"/>
    <mergeCell ref="H181:K181"/>
    <mergeCell ref="A182:D182"/>
    <mergeCell ref="H182:K182"/>
    <mergeCell ref="A177:D177"/>
    <mergeCell ref="H177:K177"/>
    <mergeCell ref="A178:D178"/>
    <mergeCell ref="H178:K178"/>
    <mergeCell ref="A179:D179"/>
    <mergeCell ref="H179:K179"/>
    <mergeCell ref="A196:D196"/>
    <mergeCell ref="H196:K196"/>
    <mergeCell ref="A187:K187"/>
    <mergeCell ref="A188:D193"/>
    <mergeCell ref="E188:E193"/>
    <mergeCell ref="F188:F193"/>
    <mergeCell ref="G188:G193"/>
    <mergeCell ref="H188:K193"/>
    <mergeCell ref="A183:D183"/>
    <mergeCell ref="H183:K183"/>
    <mergeCell ref="A184:F184"/>
    <mergeCell ref="G184:K184"/>
    <mergeCell ref="A185:K185"/>
    <mergeCell ref="A186:K186"/>
    <mergeCell ref="A206:D206"/>
    <mergeCell ref="H206:K206"/>
    <mergeCell ref="A201:D201"/>
    <mergeCell ref="H201:K201"/>
    <mergeCell ref="A202:D202"/>
    <mergeCell ref="H202:K202"/>
    <mergeCell ref="A203:D203"/>
    <mergeCell ref="H203:K203"/>
    <mergeCell ref="A127:D127"/>
    <mergeCell ref="H127:K127"/>
    <mergeCell ref="A198:D198"/>
    <mergeCell ref="H198:K198"/>
    <mergeCell ref="A199:D199"/>
    <mergeCell ref="H199:K199"/>
    <mergeCell ref="A200:D200"/>
    <mergeCell ref="H200:K200"/>
    <mergeCell ref="A204:D204"/>
    <mergeCell ref="H204:K204"/>
    <mergeCell ref="A205:D205"/>
    <mergeCell ref="H205:K205"/>
    <mergeCell ref="A194:D194"/>
    <mergeCell ref="H194:K194"/>
    <mergeCell ref="A195:D195"/>
    <mergeCell ref="H195:K195"/>
    <mergeCell ref="A216:D216"/>
    <mergeCell ref="H216:K216"/>
    <mergeCell ref="A217:F217"/>
    <mergeCell ref="G217:K217"/>
    <mergeCell ref="A213:D213"/>
    <mergeCell ref="H213:K213"/>
    <mergeCell ref="A214:D214"/>
    <mergeCell ref="H214:K214"/>
    <mergeCell ref="A215:D215"/>
    <mergeCell ref="H215:K215"/>
    <mergeCell ref="A210:D210"/>
    <mergeCell ref="H210:K210"/>
    <mergeCell ref="A211:D211"/>
    <mergeCell ref="H211:K211"/>
    <mergeCell ref="A212:D212"/>
    <mergeCell ref="H212:K212"/>
    <mergeCell ref="A207:D207"/>
    <mergeCell ref="H207:K207"/>
    <mergeCell ref="A208:D208"/>
    <mergeCell ref="H208:K208"/>
    <mergeCell ref="A209:D209"/>
    <mergeCell ref="H209:K209"/>
  </mergeCells>
  <dataValidations count="7">
    <dataValidation type="list" allowBlank="1" showInputMessage="1" showErrorMessage="1" sqref="E14:E43 F54:F78 F89:F113 F159:F183 F124:F148 F194:F216">
      <formula1>setasides2</formula1>
    </dataValidation>
    <dataValidation type="list" allowBlank="1" showInputMessage="1" showErrorMessage="1" sqref="E159:E183 E89:E113 D14:D43 E54:E78 E124:E148 E194:E216">
      <formula1>program</formula1>
    </dataValidation>
    <dataValidation allowBlank="1" showErrorMessage="1" sqref="G54:G78 G89:G113 G159:G183 G124:G148 G194:G216"/>
    <dataValidation type="textLength" operator="lessThan" allowBlank="1" showInputMessage="1" showErrorMessage="1" errorTitle="Too Much Text" error="Provide a brief description using no more than 100 characters here.  A more full description should be included within the summary worksheet (tab 12)." sqref="H14:K25 H54:K78 H89:K113 H159:K183 H27:K36 H41:K43 H124:K126 H128:K148 H194:K216">
      <formula1>101</formula1>
    </dataValidation>
    <dataValidation allowBlank="1" showInputMessage="1" showErrorMessage="1" promptTitle="% of FTE" prompt="Input a percentage or decimal showing the portion of this individual's total salary and benefits to be paid from these funds." sqref="F27:F43 F14:F25"/>
    <dataValidation allowBlank="1" showInputMessage="1" showErrorMessage="1" promptTitle="Total Amount" prompt="Input the total amount of these funds being used to fund this individual's salary and benefits." sqref="G14:G25 G27:G43"/>
    <dataValidation type="textLength" operator="lessThan" allowBlank="1" showInputMessage="1" showErrorMessage="1" errorTitle="Too Much Text" error="Provide a brief description using no more than 100 characters here.  A more full description should be included within the summary worksheets (tab 2 and/or tab 8)." sqref="H37:K40">
      <formula1>101</formula1>
    </dataValidation>
  </dataValidations>
  <pageMargins left="0.75" right="0.75" top="1" bottom="1" header="0.5" footer="0.5"/>
  <pageSetup scale="76" fitToHeight="0" orientation="landscape" r:id="rId1"/>
  <headerFooter alignWithMargins="0">
    <oddHeader>&amp;LFFY 2012 Consolidated Application&amp;C&amp;A&amp;R&amp;P of &amp;N</oddHeader>
  </headerFooter>
  <rowBreaks count="5" manualBreakCount="5">
    <brk id="44" max="16383" man="1"/>
    <brk id="80" max="10" man="1"/>
    <brk id="115" max="10" man="1"/>
    <brk id="150" max="10" man="1"/>
    <brk id="185"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86"/>
  <sheetViews>
    <sheetView topLeftCell="B1" zoomScale="90" zoomScaleNormal="90" workbookViewId="0">
      <selection activeCell="J85" sqref="J85"/>
    </sheetView>
  </sheetViews>
  <sheetFormatPr defaultColWidth="9.140625" defaultRowHeight="12.75" x14ac:dyDescent="0.2"/>
  <cols>
    <col min="1" max="10" width="15.7109375" style="2" customWidth="1"/>
    <col min="11" max="11" width="15.7109375" style="1" customWidth="1"/>
    <col min="12" max="16384" width="9.140625" style="2"/>
  </cols>
  <sheetData>
    <row r="1" spans="1:11" ht="13.5" customHeight="1" thickTop="1" x14ac:dyDescent="0.2">
      <c r="A1" s="973" t="s">
        <v>126</v>
      </c>
      <c r="B1" s="974"/>
      <c r="C1" s="974"/>
      <c r="D1" s="869" t="s">
        <v>56</v>
      </c>
      <c r="E1" s="870"/>
      <c r="F1" s="870"/>
      <c r="G1" s="870"/>
      <c r="H1" s="870"/>
      <c r="I1" s="870"/>
      <c r="J1" s="870"/>
      <c r="K1" s="839" t="str">
        <f>IF(J85=('1'!E28-'3'!F19),"Your budget is now complete.","The total amount for which you have budgeted does not match the unconsolidated portion of the LEA's Title II, Part A allocation.")</f>
        <v>Your budget is now complete.</v>
      </c>
    </row>
    <row r="2" spans="1:11" ht="12.75" customHeight="1" x14ac:dyDescent="0.2">
      <c r="A2" s="975"/>
      <c r="B2" s="976"/>
      <c r="C2" s="976"/>
      <c r="D2" s="871"/>
      <c r="E2" s="872"/>
      <c r="F2" s="872"/>
      <c r="G2" s="872"/>
      <c r="H2" s="872"/>
      <c r="I2" s="872"/>
      <c r="J2" s="872"/>
      <c r="K2" s="840"/>
    </row>
    <row r="3" spans="1:11" ht="12.75" customHeight="1" x14ac:dyDescent="0.2">
      <c r="A3" s="975"/>
      <c r="B3" s="976"/>
      <c r="C3" s="976"/>
      <c r="D3" s="871"/>
      <c r="E3" s="872"/>
      <c r="F3" s="872"/>
      <c r="G3" s="872"/>
      <c r="H3" s="872"/>
      <c r="I3" s="872"/>
      <c r="J3" s="872"/>
      <c r="K3" s="840"/>
    </row>
    <row r="4" spans="1:11" ht="13.5" customHeight="1" thickBot="1" x14ac:dyDescent="0.25">
      <c r="A4" s="975"/>
      <c r="B4" s="976"/>
      <c r="C4" s="976"/>
      <c r="D4" s="873"/>
      <c r="E4" s="874"/>
      <c r="F4" s="874"/>
      <c r="G4" s="874"/>
      <c r="H4" s="874"/>
      <c r="I4" s="874"/>
      <c r="J4" s="874"/>
      <c r="K4" s="840"/>
    </row>
    <row r="5" spans="1:11" ht="12.75" customHeight="1" x14ac:dyDescent="0.2">
      <c r="A5" s="975"/>
      <c r="B5" s="976"/>
      <c r="C5" s="976"/>
      <c r="D5" s="842" t="s">
        <v>57</v>
      </c>
      <c r="E5" s="842" t="s">
        <v>58</v>
      </c>
      <c r="F5" s="842" t="s">
        <v>136</v>
      </c>
      <c r="G5" s="842" t="s">
        <v>138</v>
      </c>
      <c r="H5" s="842" t="s">
        <v>61</v>
      </c>
      <c r="I5" s="842" t="s">
        <v>115</v>
      </c>
      <c r="J5" s="844" t="s">
        <v>116</v>
      </c>
      <c r="K5" s="840"/>
    </row>
    <row r="6" spans="1:11" ht="12.75" customHeight="1" x14ac:dyDescent="0.2">
      <c r="A6" s="975"/>
      <c r="B6" s="976"/>
      <c r="C6" s="976"/>
      <c r="D6" s="843"/>
      <c r="E6" s="843"/>
      <c r="F6" s="843"/>
      <c r="G6" s="843"/>
      <c r="H6" s="843"/>
      <c r="I6" s="843"/>
      <c r="J6" s="845"/>
      <c r="K6" s="840"/>
    </row>
    <row r="7" spans="1:11" ht="12.75" customHeight="1" x14ac:dyDescent="0.2">
      <c r="A7" s="975"/>
      <c r="B7" s="976"/>
      <c r="C7" s="976"/>
      <c r="D7" s="843"/>
      <c r="E7" s="843"/>
      <c r="F7" s="843"/>
      <c r="G7" s="843"/>
      <c r="H7" s="843"/>
      <c r="I7" s="843"/>
      <c r="J7" s="846"/>
      <c r="K7" s="840"/>
    </row>
    <row r="8" spans="1:11" ht="13.5" customHeight="1" thickBot="1" x14ac:dyDescent="0.25">
      <c r="A8" s="977"/>
      <c r="B8" s="976"/>
      <c r="C8" s="976"/>
      <c r="D8" s="843"/>
      <c r="E8" s="843"/>
      <c r="F8" s="843"/>
      <c r="G8" s="843"/>
      <c r="H8" s="843"/>
      <c r="I8" s="843"/>
      <c r="J8" s="847"/>
      <c r="K8" s="840"/>
    </row>
    <row r="9" spans="1:11" ht="12.75" customHeight="1" x14ac:dyDescent="0.2">
      <c r="A9" s="851" t="s">
        <v>63</v>
      </c>
      <c r="B9" s="854" t="s">
        <v>50</v>
      </c>
      <c r="C9" s="35" t="s">
        <v>119</v>
      </c>
      <c r="D9" s="47">
        <f>SUMIF('13'!$N$14:$N$43,"InstructionRecruit./Retention",'13'!$G$14:$G$43)</f>
        <v>0</v>
      </c>
      <c r="E9" s="48">
        <f>SUMIF('13'!$N$54:$N$78,"InstructionRecruit./Retention",'13'!$G$54:$G$78)</f>
        <v>0</v>
      </c>
      <c r="F9" s="48">
        <f>SUMIF('13'!$N$89:$N$113,"InstructionRecruit./Retention",'13'!$G$89:$G$113)</f>
        <v>0</v>
      </c>
      <c r="G9" s="48">
        <f>SUMIF('13'!$N$124:$N$148,"InstructionRecruit./Retention",'13'!$G$124:$G$148)</f>
        <v>0</v>
      </c>
      <c r="H9" s="48">
        <f>SUMIF('13'!$N$159:$N$183,"InstructionRecruit./Retention",'13'!$G$159:$G$183)</f>
        <v>0</v>
      </c>
      <c r="I9" s="48">
        <f>SUMIF('13'!$N$194:$N$216,"InstructionRecruit./Retention",'13'!$G$194:$G$216)</f>
        <v>0</v>
      </c>
      <c r="J9" s="169">
        <f t="shared" ref="J9:J74" si="0">SUM(D9:I9)</f>
        <v>0</v>
      </c>
      <c r="K9" s="840"/>
    </row>
    <row r="10" spans="1:11" ht="12.75" customHeight="1" x14ac:dyDescent="0.2">
      <c r="A10" s="852"/>
      <c r="B10" s="856"/>
      <c r="C10" s="36" t="s">
        <v>109</v>
      </c>
      <c r="D10" s="49">
        <f>SUMIF('13'!$N$14:$N$43,"InstructionProf. Development",'13'!$G$14:$G$43)</f>
        <v>0</v>
      </c>
      <c r="E10" s="50">
        <f>SUMIF('13'!$N$54:$N$78,"InstructionProf. Development",'13'!$G$54:$G$78)</f>
        <v>0</v>
      </c>
      <c r="F10" s="50">
        <f>SUMIF('13'!$N$89:$N$113,"InstructionProf. Development",'13'!$G$89:$G$113)</f>
        <v>0</v>
      </c>
      <c r="G10" s="50">
        <f>SUMIF('13'!$N$124:$N$148,"InstructionProf. Development",'13'!$G$124:$G$148)</f>
        <v>0</v>
      </c>
      <c r="H10" s="50">
        <f>SUMIF('13'!$N$159:$N$183,"InstructionProf. Development",'13'!$G$159:$G$183)</f>
        <v>0</v>
      </c>
      <c r="I10" s="50">
        <f>SUMIF('13'!$N$194:$N$216,"InstructionProf. Development",'13'!$G$194:$G$216)</f>
        <v>0</v>
      </c>
      <c r="J10" s="170">
        <f t="shared" si="0"/>
        <v>0</v>
      </c>
      <c r="K10" s="840"/>
    </row>
    <row r="11" spans="1:11" ht="12.75" customHeight="1" x14ac:dyDescent="0.2">
      <c r="A11" s="852"/>
      <c r="B11" s="856"/>
      <c r="C11" s="36" t="s">
        <v>125</v>
      </c>
      <c r="D11" s="49">
        <f>SUMIF('13'!$N$14:$N$43,"InstructionMentoring/Induction",'13'!$G$14:$G$43)</f>
        <v>0</v>
      </c>
      <c r="E11" s="50">
        <f>SUMIF('13'!$N$54:$N$78,"InstructionMentoring/Induction",'13'!$G$54:$G$78)</f>
        <v>0</v>
      </c>
      <c r="F11" s="50">
        <f>SUMIF('13'!$N$89:$N$113,"InstructionMentoring/Induction",'13'!$G$89:$G$113)</f>
        <v>0</v>
      </c>
      <c r="G11" s="50">
        <f>SUMIF('13'!$N$124:$N$148,"InstructionMentoring/Induction",'13'!$G$124:$G$148)</f>
        <v>0</v>
      </c>
      <c r="H11" s="50">
        <f>SUMIF('13'!$N$159:$N$183,"InstructionMentoring/Induction",'13'!$G$159:$G$183)</f>
        <v>0</v>
      </c>
      <c r="I11" s="50">
        <f>SUMIF('13'!$N$194:$N$216,"InstructionMentoring/Induction",'13'!$G$194:$G$216)</f>
        <v>0</v>
      </c>
      <c r="J11" s="170">
        <f t="shared" si="0"/>
        <v>0</v>
      </c>
      <c r="K11" s="840"/>
    </row>
    <row r="12" spans="1:11" ht="12.75" customHeight="1" x14ac:dyDescent="0.2">
      <c r="A12" s="852"/>
      <c r="B12" s="856"/>
      <c r="C12" s="36" t="s">
        <v>122</v>
      </c>
      <c r="D12" s="49">
        <f>SUMIF('13'!$N$14:$N$43,"InstructionTeacher Testing",'13'!$G$14:$G$43)</f>
        <v>0</v>
      </c>
      <c r="E12" s="50">
        <f>SUMIF('13'!$N$54:$N$78,"InstructionTeacher Testing",'13'!$G$54:$G$78)</f>
        <v>0</v>
      </c>
      <c r="F12" s="50">
        <f>SUMIF('13'!$N$89:$N$113,"InstructionTeacher Testing",'13'!$G$89:$G$113)</f>
        <v>0</v>
      </c>
      <c r="G12" s="50">
        <f>SUMIF('13'!$N$124:$N$148,"InstructionTeacher Testing",'13'!$G$124:$G$148)</f>
        <v>0</v>
      </c>
      <c r="H12" s="50">
        <f>SUMIF('13'!$N$159:$N$183,"InstructionTeacher Testing",'13'!$G$159:$G$183)</f>
        <v>0</v>
      </c>
      <c r="I12" s="50">
        <f>SUMIF('13'!$N$194:$N$216,"InstructionTeacher Testing",'13'!$G$194:$G$216)</f>
        <v>0</v>
      </c>
      <c r="J12" s="170">
        <f t="shared" si="0"/>
        <v>0</v>
      </c>
      <c r="K12" s="840"/>
    </row>
    <row r="13" spans="1:11" ht="12.75" customHeight="1" x14ac:dyDescent="0.2">
      <c r="A13" s="852"/>
      <c r="B13" s="856"/>
      <c r="C13" s="36" t="s">
        <v>124</v>
      </c>
      <c r="D13" s="49">
        <f>SUMIF('13'!$N$14:$N$43,"InstructionPrincipal Development",'13'!$G$14:$G$43)</f>
        <v>0</v>
      </c>
      <c r="E13" s="50">
        <f>SUMIF('13'!$N$54:$N$78,"InstructionPrincipal Development",'13'!$G$54:$G$78)</f>
        <v>0</v>
      </c>
      <c r="F13" s="50">
        <f>SUMIF('13'!$N$89:$N$113,"InstructionPrincipal Development",'13'!$G$89:$G$113)</f>
        <v>0</v>
      </c>
      <c r="G13" s="50">
        <f>SUMIF('13'!$N$124:$N$148,"InstructionPrincipal Development",'13'!$G$124:$G$148)</f>
        <v>0</v>
      </c>
      <c r="H13" s="50">
        <f>SUMIF('13'!$N$159:$N$183,"InstructionPrincipal Development",'13'!$G$159:$G$183)</f>
        <v>0</v>
      </c>
      <c r="I13" s="50">
        <f>SUMIF('13'!$N$194:$N$216,"InstructionPrincipal Development",'13'!$G$194:$G$216)</f>
        <v>0</v>
      </c>
      <c r="J13" s="170">
        <f t="shared" si="0"/>
        <v>0</v>
      </c>
      <c r="K13" s="840"/>
    </row>
    <row r="14" spans="1:11" ht="12.75" customHeight="1" x14ac:dyDescent="0.2">
      <c r="A14" s="852"/>
      <c r="B14" s="856"/>
      <c r="C14" s="36" t="s">
        <v>123</v>
      </c>
      <c r="D14" s="49">
        <f>SUMIF('13'!$N$14:$N$43,"InstructionMerit Pay",'13'!$G$14:$G$43)</f>
        <v>0</v>
      </c>
      <c r="E14" s="50">
        <f>SUMIF('13'!$N$54:$N$78,"InstructionMerit Pay",'13'!$G$54:$G$78)</f>
        <v>0</v>
      </c>
      <c r="F14" s="50">
        <f>SUMIF('13'!$N$89:$N$113,"InstructionMerit Pay",'13'!$G$89:$G$113)</f>
        <v>0</v>
      </c>
      <c r="G14" s="50">
        <f>SUMIF('13'!$N$124:$N$148,"InstructionMerit Pay",'13'!$G$124:$G$148)</f>
        <v>0</v>
      </c>
      <c r="H14" s="50">
        <f>SUMIF('13'!$N$159:$N$183,"InstructionMerit Pay",'13'!$G$159:$G$183)</f>
        <v>0</v>
      </c>
      <c r="I14" s="50">
        <f>SUMIF('13'!$N$194:$N$216,"InstructionMerit Pay",'13'!$G$194:$G$216)</f>
        <v>0</v>
      </c>
      <c r="J14" s="170">
        <f t="shared" si="0"/>
        <v>0</v>
      </c>
      <c r="K14" s="840"/>
    </row>
    <row r="15" spans="1:11" ht="12.75" customHeight="1" x14ac:dyDescent="0.2">
      <c r="A15" s="852"/>
      <c r="B15" s="856"/>
      <c r="C15" s="36" t="s">
        <v>120</v>
      </c>
      <c r="D15" s="49">
        <f>SUMIF('13'!$N$14:$N$43,"InstructionClass-size Reduction",'13'!$G$14:$G$43)</f>
        <v>0</v>
      </c>
      <c r="E15" s="50">
        <f>SUMIF('13'!$N$54:$N$78,"InstructionClass-size Reduction",'13'!$G$54:$G$78)</f>
        <v>0</v>
      </c>
      <c r="F15" s="50">
        <f>SUMIF('13'!$N$89:$N$113,"InstructionClass-size Reduction",'13'!$G$89:$G$113)</f>
        <v>0</v>
      </c>
      <c r="G15" s="50">
        <f>SUMIF('13'!$N$124:$N$148,"InstructionClass-size Reduction",'13'!$G$124:$G$148)</f>
        <v>0</v>
      </c>
      <c r="H15" s="50">
        <f>SUMIF('13'!$N$159:$N$183,"InstructionClass-size Reduction",'13'!$G$159:$G$183)</f>
        <v>0</v>
      </c>
      <c r="I15" s="50">
        <f>SUMIF('13'!$N$194:$N$216,"InstructionClass-size Reduction",'13'!$G$194:$G$216)</f>
        <v>0</v>
      </c>
      <c r="J15" s="170">
        <f t="shared" si="0"/>
        <v>0</v>
      </c>
      <c r="K15" s="840"/>
    </row>
    <row r="16" spans="1:11" ht="12.75" customHeight="1" x14ac:dyDescent="0.2">
      <c r="A16" s="852"/>
      <c r="B16" s="856"/>
      <c r="C16" s="36" t="s">
        <v>121</v>
      </c>
      <c r="D16" s="49">
        <f>SUMIF('13'!$N$14:$N$43,"InstructionTeacher Advancement",'13'!$G$14:$G$43)</f>
        <v>0</v>
      </c>
      <c r="E16" s="50">
        <f>SUMIF('13'!$N$54:$N$78,"InstructionTeacher Advancement",'13'!$G$54:$G$78)</f>
        <v>0</v>
      </c>
      <c r="F16" s="50">
        <f>SUMIF('13'!$N$89:$N$113,"InstructionTeacher Advancement",'13'!$G$89:$G$113)</f>
        <v>0</v>
      </c>
      <c r="G16" s="50">
        <f>SUMIF('13'!$N$124:$N$148,"InstructionTeacher Advancement",'13'!$G$124:$G$148)</f>
        <v>0</v>
      </c>
      <c r="H16" s="50">
        <f>SUMIF('13'!$N$159:$N$183,"InstructionTeacher Advancement",'13'!$G$159:$G$183)</f>
        <v>0</v>
      </c>
      <c r="I16" s="50">
        <f>SUMIF('13'!$N$194:$N$216,"InstructionTeacher Advancement",'13'!$G$194:$G$216)</f>
        <v>0</v>
      </c>
      <c r="J16" s="170">
        <f t="shared" si="0"/>
        <v>0</v>
      </c>
      <c r="K16" s="840"/>
    </row>
    <row r="17" spans="1:11" ht="12.75" customHeight="1" x14ac:dyDescent="0.2">
      <c r="A17" s="852"/>
      <c r="B17" s="856"/>
      <c r="C17" s="36" t="s">
        <v>108</v>
      </c>
      <c r="D17" s="49">
        <f>SUMIF('13'!$N$14:$N$43,"InstructionEquitable Services",'13'!$G$14:$G$43)</f>
        <v>0</v>
      </c>
      <c r="E17" s="50">
        <f>SUMIF('13'!$N$54:$N$78,"InstructionEquitable Services",'13'!$G$54:$G$78)</f>
        <v>0</v>
      </c>
      <c r="F17" s="50">
        <f>SUMIF('13'!$N$89:$N$113,"InstructionEquitable Services",'13'!$G$89:$G$113)</f>
        <v>0</v>
      </c>
      <c r="G17" s="50">
        <f>SUMIF('13'!$N$124:$N$148,"InstructionEquitable Services",'13'!$G$124:$G$148)</f>
        <v>0</v>
      </c>
      <c r="H17" s="50">
        <f>SUMIF('13'!$N$159:$N$183,"InstructionEquitable Services",'13'!$G$159:$G$183)</f>
        <v>0</v>
      </c>
      <c r="I17" s="50">
        <f>SUMIF('13'!$N$194:$N$216,"InstructionEquitable Services",'13'!$G$194:$G$216)</f>
        <v>0</v>
      </c>
      <c r="J17" s="170">
        <f t="shared" si="0"/>
        <v>0</v>
      </c>
      <c r="K17" s="840"/>
    </row>
    <row r="18" spans="1:11" ht="12.75" customHeight="1" x14ac:dyDescent="0.2">
      <c r="A18" s="852"/>
      <c r="B18" s="856"/>
      <c r="C18" s="36" t="s">
        <v>52</v>
      </c>
      <c r="D18" s="49">
        <f>SUMIF('13'!$N$14:$N$43,"InstructionOther",'13'!$G$14:$G$43)</f>
        <v>0</v>
      </c>
      <c r="E18" s="50">
        <f>SUMIF('13'!$N$54:$N$78,"InstructionOther",'13'!$G$54:$G$78)</f>
        <v>0</v>
      </c>
      <c r="F18" s="50">
        <f>SUMIF('13'!$N$89:$N$113,"InstructionOther",'13'!$G$89:$G$113)</f>
        <v>0</v>
      </c>
      <c r="G18" s="50">
        <f>SUMIF('13'!$N$124:$N$148,"InstructionOther",'13'!$G$124:$G$148)</f>
        <v>0</v>
      </c>
      <c r="H18" s="50">
        <f>SUMIF('13'!$N$159:$N$183,"InstructionOther",'13'!$G$159:$G$183)</f>
        <v>0</v>
      </c>
      <c r="I18" s="50">
        <f>SUMIF('13'!$N$194:$N$216,"InstructionOther",'13'!$G$194:$G$216)</f>
        <v>0</v>
      </c>
      <c r="J18" s="170">
        <f t="shared" si="0"/>
        <v>0</v>
      </c>
      <c r="K18" s="840"/>
    </row>
    <row r="19" spans="1:11" ht="13.5" customHeight="1" thickBot="1" x14ac:dyDescent="0.25">
      <c r="A19" s="852"/>
      <c r="B19" s="945"/>
      <c r="C19" s="37" t="s">
        <v>112</v>
      </c>
      <c r="D19" s="38">
        <f t="shared" ref="D19:I19" si="1">SUM(D9:D18)</f>
        <v>0</v>
      </c>
      <c r="E19" s="38">
        <f t="shared" si="1"/>
        <v>0</v>
      </c>
      <c r="F19" s="38">
        <f t="shared" si="1"/>
        <v>0</v>
      </c>
      <c r="G19" s="38">
        <f t="shared" si="1"/>
        <v>0</v>
      </c>
      <c r="H19" s="38">
        <f t="shared" si="1"/>
        <v>0</v>
      </c>
      <c r="I19" s="38">
        <f t="shared" si="1"/>
        <v>0</v>
      </c>
      <c r="J19" s="41">
        <f t="shared" si="0"/>
        <v>0</v>
      </c>
      <c r="K19" s="840"/>
    </row>
    <row r="20" spans="1:11" ht="12.75" customHeight="1" x14ac:dyDescent="0.2">
      <c r="A20" s="852"/>
      <c r="B20" s="854" t="s">
        <v>51</v>
      </c>
      <c r="C20" s="35" t="s">
        <v>119</v>
      </c>
      <c r="D20" s="47">
        <f>SUMIF('13'!$N$14:$N$43,"Support ServicesRecruit./Retention",'13'!$G$14:$G$43)</f>
        <v>0</v>
      </c>
      <c r="E20" s="48">
        <f>SUMIF('13'!$N$54:$N$78,"Support ServicesRecruit./Retention",'13'!$G$54:$G$78)</f>
        <v>0</v>
      </c>
      <c r="F20" s="48">
        <f>SUMIF('13'!$N$89:$N$113,"Support ServicesRecruit./Retention",'13'!$G$89:$G$113)</f>
        <v>0</v>
      </c>
      <c r="G20" s="48">
        <f>SUMIF('13'!$N$124:$N$148,"Support ServicesRecruit./Retention",'13'!$G$124:$G$148)</f>
        <v>0</v>
      </c>
      <c r="H20" s="48">
        <f>SUMIF('13'!$N$159:$N$183,"Support ServicesRecruit./Retention",'13'!$G$159:$G$183)</f>
        <v>0</v>
      </c>
      <c r="I20" s="48">
        <f>SUMIF('13'!$N$194:$N$216,"Support ServicesRecruit./Retention",'13'!$G$194:$G$216)</f>
        <v>0</v>
      </c>
      <c r="J20" s="169">
        <f t="shared" si="0"/>
        <v>0</v>
      </c>
      <c r="K20" s="840"/>
    </row>
    <row r="21" spans="1:11" ht="12.75" customHeight="1" x14ac:dyDescent="0.2">
      <c r="A21" s="852"/>
      <c r="B21" s="856"/>
      <c r="C21" s="36" t="s">
        <v>109</v>
      </c>
      <c r="D21" s="49">
        <f>SUMIF('13'!$N$14:$N$43,"Support ServicesProf. Development",'13'!$G$14:$G$43)</f>
        <v>4433177.08</v>
      </c>
      <c r="E21" s="50">
        <f>SUMIF('13'!$N$54:$N$78,"Support ServicesProf. Development",'13'!$G$54:$G$78)</f>
        <v>0</v>
      </c>
      <c r="F21" s="50">
        <f>SUMIF('13'!$N$89:$N$113,"Support ServicesProf. Development",'13'!$G$89:$G$113)</f>
        <v>0</v>
      </c>
      <c r="G21" s="50">
        <f>SUMIF('13'!$N$124:$N$148,"Support ServicesProf. Development",'13'!$G$124:$G$148)</f>
        <v>0</v>
      </c>
      <c r="H21" s="50">
        <f>SUMIF('13'!$N$159:$N$183,"Support ServicesProf. Development",'13'!$G$159:$G$183)</f>
        <v>0</v>
      </c>
      <c r="I21" s="50">
        <f>SUMIF('13'!$N$194:$N$216,"Support ServicesProf. Development",'13'!$G$194:$G$216)</f>
        <v>261525</v>
      </c>
      <c r="J21" s="170">
        <f t="shared" si="0"/>
        <v>4694702.0800000001</v>
      </c>
      <c r="K21" s="840"/>
    </row>
    <row r="22" spans="1:11" ht="12.75" customHeight="1" x14ac:dyDescent="0.2">
      <c r="A22" s="852"/>
      <c r="B22" s="856"/>
      <c r="C22" s="36" t="s">
        <v>125</v>
      </c>
      <c r="D22" s="49">
        <f>SUMIF('13'!$N$14:$N$43,"Support ServicesMentoring/Induction",'13'!$G$14:$G$43)</f>
        <v>0</v>
      </c>
      <c r="E22" s="50">
        <f>SUMIF('13'!$N$54:$N$78,"Support ServicesMentoring/Induction",'13'!$G$54:$G$78)</f>
        <v>0</v>
      </c>
      <c r="F22" s="50">
        <f>SUMIF('13'!$N$89:$N$113,"Support ServicesMentoring/Induction",'13'!$G$89:$G$113)</f>
        <v>0</v>
      </c>
      <c r="G22" s="50">
        <f>SUMIF('13'!$N$124:$N$148,"Support ServicesMentoring/Induction",'13'!$G$124:$G$148)</f>
        <v>0</v>
      </c>
      <c r="H22" s="50">
        <f>SUMIF('13'!$N$159:$N$183,"Support ServicesMentoring/Induction",'13'!$G$159:$G$183)</f>
        <v>0</v>
      </c>
      <c r="I22" s="50">
        <f>SUMIF('13'!$N$194:$N$216,"Support ServicesMentoring/Induction",'13'!$G$194:$G$216)</f>
        <v>0</v>
      </c>
      <c r="J22" s="170">
        <f t="shared" si="0"/>
        <v>0</v>
      </c>
      <c r="K22" s="840"/>
    </row>
    <row r="23" spans="1:11" ht="12.75" customHeight="1" x14ac:dyDescent="0.2">
      <c r="A23" s="852"/>
      <c r="B23" s="856"/>
      <c r="C23" s="36" t="s">
        <v>122</v>
      </c>
      <c r="D23" s="49">
        <f>SUMIF('13'!$N$14:$N$43,"Support ServicesTeacher Testing",'13'!$G$14:$G$43)</f>
        <v>0</v>
      </c>
      <c r="E23" s="50">
        <f>SUMIF('13'!$N$54:$N$78,"Support ServicesTeacher Testing",'13'!$G$54:$G$78)</f>
        <v>0</v>
      </c>
      <c r="F23" s="50">
        <f>SUMIF('13'!$N$89:$N$113,"Support ServicesTeacher Testing",'13'!$G$89:$G$113)</f>
        <v>0</v>
      </c>
      <c r="G23" s="50">
        <f>SUMIF('13'!$N$124:$N$148,"Support ServicesTeacher Testing",'13'!$G$124:$G$148)</f>
        <v>0</v>
      </c>
      <c r="H23" s="50">
        <f>SUMIF('13'!$N$159:$N$183,"Support ServicesTeacher Testing",'13'!$G$159:$G$183)</f>
        <v>0</v>
      </c>
      <c r="I23" s="50">
        <f>SUMIF('13'!$N$194:$N$216,"Support ServicesTeacher Testing",'13'!$G$194:$G$216)</f>
        <v>0</v>
      </c>
      <c r="J23" s="170">
        <f t="shared" si="0"/>
        <v>0</v>
      </c>
      <c r="K23" s="840"/>
    </row>
    <row r="24" spans="1:11" ht="12.75" customHeight="1" x14ac:dyDescent="0.2">
      <c r="A24" s="852"/>
      <c r="B24" s="856"/>
      <c r="C24" s="36" t="s">
        <v>124</v>
      </c>
      <c r="D24" s="49">
        <f>SUMIF('13'!$N$14:$N$43,"Support ServicesPrincipal Development",'13'!$G$14:$G$43)</f>
        <v>0</v>
      </c>
      <c r="E24" s="50">
        <f>SUMIF('13'!$N$54:$N$78,"Support ServicesPrincipal Development",'13'!$G$54:$G$78)</f>
        <v>0</v>
      </c>
      <c r="F24" s="50">
        <f>SUMIF('13'!$N$89:$N$113,"Support ServicesPrincipal Development",'13'!$G$89:$G$113)</f>
        <v>0</v>
      </c>
      <c r="G24" s="50">
        <f>SUMIF('13'!$N$124:$N$148,"Support ServicesPrincipal Development",'13'!$G$124:$G$148)</f>
        <v>0</v>
      </c>
      <c r="H24" s="50">
        <f>SUMIF('13'!$N$159:$N$183,"Support ServicesPrincipal Development",'13'!$G$159:$G$183)</f>
        <v>0</v>
      </c>
      <c r="I24" s="50">
        <f>SUMIF('13'!$N$194:$N$216,"Support ServicesPrincipal Development",'13'!$G$194:$G$216)</f>
        <v>0</v>
      </c>
      <c r="J24" s="170">
        <f t="shared" si="0"/>
        <v>0</v>
      </c>
      <c r="K24" s="840"/>
    </row>
    <row r="25" spans="1:11" ht="12.75" customHeight="1" x14ac:dyDescent="0.2">
      <c r="A25" s="852"/>
      <c r="B25" s="856"/>
      <c r="C25" s="36" t="s">
        <v>123</v>
      </c>
      <c r="D25" s="49">
        <f>SUMIF('13'!$N$14:$N$43,"Support ServicesMerit Pay",'13'!$G$14:$G$43)</f>
        <v>0</v>
      </c>
      <c r="E25" s="50">
        <f>SUMIF('13'!$N$54:$N$78,"Support ServicesMerit Pay",'13'!$G$54:$G$78)</f>
        <v>0</v>
      </c>
      <c r="F25" s="50">
        <f>SUMIF('13'!$N$89:$N$113,"Support ServicesMerit Pay",'13'!$G$89:$G$113)</f>
        <v>0</v>
      </c>
      <c r="G25" s="50">
        <f>SUMIF('13'!$N$124:$N$148,"Support ServicesMerit Pay",'13'!$G$124:$G$148)</f>
        <v>0</v>
      </c>
      <c r="H25" s="50">
        <f>SUMIF('13'!$N$159:$N$183,"Support ServicesMerit Pay",'13'!$G$159:$G$183)</f>
        <v>0</v>
      </c>
      <c r="I25" s="50">
        <f>SUMIF('13'!$N$194:$N$216,"Support ServicesMerit Pay",'13'!$G$194:$G$216)</f>
        <v>0</v>
      </c>
      <c r="J25" s="170">
        <f t="shared" si="0"/>
        <v>0</v>
      </c>
      <c r="K25" s="840"/>
    </row>
    <row r="26" spans="1:11" ht="12.75" customHeight="1" x14ac:dyDescent="0.2">
      <c r="A26" s="852"/>
      <c r="B26" s="856"/>
      <c r="C26" s="36" t="s">
        <v>120</v>
      </c>
      <c r="D26" s="49">
        <f>SUMIF('13'!$N$14:$N$43,"Support ServicesClass-size Reduction",'13'!$G$14:$G$43)</f>
        <v>0</v>
      </c>
      <c r="E26" s="50">
        <f>SUMIF('13'!$N$54:$N$78,"Support ServicesClass-size Reduction",'13'!$G$54:$G$78)</f>
        <v>0</v>
      </c>
      <c r="F26" s="50">
        <f>SUMIF('13'!$N$89:$N$113,"Support ServicesClass-size Reduction",'13'!$G$89:$G$113)</f>
        <v>0</v>
      </c>
      <c r="G26" s="50">
        <f>SUMIF('13'!$N$124:$N$148,"Support ServicesClass-size Reduction",'13'!$G$124:$G$148)</f>
        <v>0</v>
      </c>
      <c r="H26" s="50">
        <f>SUMIF('13'!$N$159:$N$183,"Support ServicesClass-size Reduction",'13'!$G$159:$G$183)</f>
        <v>0</v>
      </c>
      <c r="I26" s="50">
        <f>SUMIF('13'!$N$194:$N$216,"Support ServicesClass-size Reduction",'13'!$G$194:$G$216)</f>
        <v>0</v>
      </c>
      <c r="J26" s="170">
        <f t="shared" si="0"/>
        <v>0</v>
      </c>
      <c r="K26" s="840"/>
    </row>
    <row r="27" spans="1:11" ht="12.75" customHeight="1" x14ac:dyDescent="0.2">
      <c r="A27" s="852"/>
      <c r="B27" s="856"/>
      <c r="C27" s="36" t="s">
        <v>121</v>
      </c>
      <c r="D27" s="49">
        <f>SUMIF('13'!$N$14:$N$43,"Support ServicesTeacher Advancement",'13'!$G$14:$G$43)</f>
        <v>0</v>
      </c>
      <c r="E27" s="50">
        <f>SUMIF('13'!$N$54:$N$78,"Support ServicesTeacher Advancement",'13'!$G$54:$G$78)</f>
        <v>0</v>
      </c>
      <c r="F27" s="50">
        <f>SUMIF('13'!$N$89:$N$113,"Support ServicesTeacher Advancement",'13'!$G$89:$G$113)</f>
        <v>0</v>
      </c>
      <c r="G27" s="50">
        <f>SUMIF('13'!$N$124:$N$148,"Support ServicesTeacher Advancement",'13'!$G$124:$G$148)</f>
        <v>0</v>
      </c>
      <c r="H27" s="50">
        <f>SUMIF('13'!$N$159:$N$183,"Support ServicesTeacher Advancement",'13'!$G$159:$G$183)</f>
        <v>0</v>
      </c>
      <c r="I27" s="50">
        <f>SUMIF('13'!$N$194:$N$216,"Support ServicesTeacher Advancement",'13'!$G$194:$G$216)</f>
        <v>0</v>
      </c>
      <c r="J27" s="170">
        <f t="shared" si="0"/>
        <v>0</v>
      </c>
      <c r="K27" s="840"/>
    </row>
    <row r="28" spans="1:11" ht="12.75" customHeight="1" x14ac:dyDescent="0.2">
      <c r="A28" s="852"/>
      <c r="B28" s="856"/>
      <c r="C28" s="36" t="s">
        <v>108</v>
      </c>
      <c r="D28" s="49">
        <f>SUMIF('13'!$N$14:$N$43,"Support ServicesEquitable Services",'13'!$G$14:$G$43)</f>
        <v>0</v>
      </c>
      <c r="E28" s="50">
        <f>SUMIF('13'!$N$54:$N$78,"Support ServicesEquitable Services",'13'!$G$54:$G$78)</f>
        <v>0</v>
      </c>
      <c r="F28" s="50">
        <f>SUMIF('13'!$N$89:$N$113,"Support ServicesEquitable Services",'13'!$G$89:$G$113)</f>
        <v>0</v>
      </c>
      <c r="G28" s="50">
        <f>SUMIF('13'!$N$124:$N$148,"Support ServicesEquitable Services",'13'!$G$124:$G$148)</f>
        <v>296249.28000000003</v>
      </c>
      <c r="H28" s="50">
        <f>SUMIF('13'!$N$159:$N$183,"Support ServicesEquitable Services",'13'!$G$159:$G$183)</f>
        <v>0</v>
      </c>
      <c r="I28" s="50">
        <f>SUMIF('13'!$N$194:$N$216,"Support ServicesEquitable Services",'13'!$G$194:$G$216)</f>
        <v>724190.52</v>
      </c>
      <c r="J28" s="170">
        <f t="shared" si="0"/>
        <v>1020439.8</v>
      </c>
      <c r="K28" s="840"/>
    </row>
    <row r="29" spans="1:11" ht="12.75" customHeight="1" x14ac:dyDescent="0.2">
      <c r="A29" s="852"/>
      <c r="B29" s="856"/>
      <c r="C29" s="36" t="s">
        <v>52</v>
      </c>
      <c r="D29" s="49">
        <f>SUMIF('13'!$N$14:$N$43,"Support ServicesOther",'13'!$G$14:$G$43)</f>
        <v>0</v>
      </c>
      <c r="E29" s="50">
        <f>SUMIF('13'!$N$54:$N$78,"Support ServicesOther",'13'!$G$54:$G$78)</f>
        <v>0</v>
      </c>
      <c r="F29" s="50">
        <f>SUMIF('13'!$N$89:$N$113,"Support ServicesOther",'13'!$G$89:$G$113)</f>
        <v>0</v>
      </c>
      <c r="G29" s="50">
        <f>SUMIF('13'!$N$124:$N$148,"Support ServicesOther",'13'!$G$124:$G$148)</f>
        <v>0</v>
      </c>
      <c r="H29" s="50">
        <f>SUMIF('13'!$N$159:$N$183,"Support ServicesOther",'13'!$G$159:$G$183)</f>
        <v>0</v>
      </c>
      <c r="I29" s="50">
        <f>SUMIF('13'!$N$194:$N$216,"Support ServicesOther",'13'!$G$194:$G$216)</f>
        <v>0</v>
      </c>
      <c r="J29" s="170">
        <f t="shared" si="0"/>
        <v>0</v>
      </c>
      <c r="K29" s="840"/>
    </row>
    <row r="30" spans="1:11" ht="13.5" customHeight="1" thickBot="1" x14ac:dyDescent="0.25">
      <c r="A30" s="852"/>
      <c r="B30" s="945"/>
      <c r="C30" s="37" t="s">
        <v>112</v>
      </c>
      <c r="D30" s="38">
        <f t="shared" ref="D30:I30" si="2">SUM(D20:D29)</f>
        <v>4433177.08</v>
      </c>
      <c r="E30" s="38">
        <f t="shared" si="2"/>
        <v>0</v>
      </c>
      <c r="F30" s="38">
        <f t="shared" si="2"/>
        <v>0</v>
      </c>
      <c r="G30" s="38">
        <f t="shared" si="2"/>
        <v>296249.28000000003</v>
      </c>
      <c r="H30" s="38">
        <f t="shared" si="2"/>
        <v>0</v>
      </c>
      <c r="I30" s="38">
        <f t="shared" si="2"/>
        <v>985715.52</v>
      </c>
      <c r="J30" s="41">
        <f t="shared" si="0"/>
        <v>5715141.8800000008</v>
      </c>
      <c r="K30" s="840"/>
    </row>
    <row r="31" spans="1:11" ht="12.75" customHeight="1" x14ac:dyDescent="0.2">
      <c r="A31" s="852"/>
      <c r="B31" s="854" t="s">
        <v>94</v>
      </c>
      <c r="C31" s="35" t="s">
        <v>119</v>
      </c>
      <c r="D31" s="47">
        <f>SUMIF('13'!$N$14:$N$43,"AdministrationRecruit./Retention",'13'!$G$14:$G$43)</f>
        <v>0</v>
      </c>
      <c r="E31" s="48">
        <f>SUMIF('13'!$N$54:$N$78,"AdministrationRecruit./Retention",'13'!$G$54:$G$78)</f>
        <v>0</v>
      </c>
      <c r="F31" s="48">
        <f>SUMIF('13'!$N$89:$N$113,"AdministrationRecruit./Retention",'13'!$G$89:$G$113)</f>
        <v>0</v>
      </c>
      <c r="G31" s="48">
        <f>SUMIF('13'!$N$124:$N$148,"AdministrationRecruit./Retention",'13'!$G$124:$G$148)</f>
        <v>0</v>
      </c>
      <c r="H31" s="48">
        <f>SUMIF('13'!$N$159:$N$183,"AdministrationRecruit./Retention",'13'!$G$159:$G$183)</f>
        <v>0</v>
      </c>
      <c r="I31" s="48">
        <f>SUMIF('13'!$N$194:$N$216,"AdministrationRecruit./Retention",'13'!$G$194:$G$216)</f>
        <v>0</v>
      </c>
      <c r="J31" s="169">
        <f t="shared" si="0"/>
        <v>0</v>
      </c>
      <c r="K31" s="840"/>
    </row>
    <row r="32" spans="1:11" ht="12.75" customHeight="1" x14ac:dyDescent="0.2">
      <c r="A32" s="852"/>
      <c r="B32" s="856"/>
      <c r="C32" s="36" t="s">
        <v>109</v>
      </c>
      <c r="D32" s="49">
        <f>SUMIF('13'!$N$14:$N$43,"AdministrationProf. Development",'13'!$G$14:$G$43)</f>
        <v>0</v>
      </c>
      <c r="E32" s="50">
        <f>SUMIF('13'!$N$54:$N$78,"AdministrationProf. Development",'13'!$G$54:$G$78)</f>
        <v>0</v>
      </c>
      <c r="F32" s="50">
        <f>SUMIF('13'!$N$89:$N$113,"AdministrationProf. Development",'13'!$G$89:$G$113)</f>
        <v>0</v>
      </c>
      <c r="G32" s="50">
        <f>SUMIF('13'!$N$124:$N$148,"AdministrationProf. Development",'13'!$G$124:$G$148)</f>
        <v>0</v>
      </c>
      <c r="H32" s="50">
        <f>SUMIF('13'!$N$159:$N$183,"AdministrationProf. Development",'13'!$G$159:$G$183)</f>
        <v>0</v>
      </c>
      <c r="I32" s="50">
        <f>SUMIF('13'!$N$194:$N$216,"AdministrationProf. Development",'13'!$G$194:$G$216)</f>
        <v>0</v>
      </c>
      <c r="J32" s="170">
        <f t="shared" si="0"/>
        <v>0</v>
      </c>
      <c r="K32" s="840"/>
    </row>
    <row r="33" spans="1:11" ht="12.75" customHeight="1" x14ac:dyDescent="0.2">
      <c r="A33" s="852"/>
      <c r="B33" s="856"/>
      <c r="C33" s="36" t="s">
        <v>125</v>
      </c>
      <c r="D33" s="49">
        <f>SUMIF('13'!$N$14:$N$43,"AdministrationMentoring/Induction",'13'!$G$14:$G$43)</f>
        <v>0</v>
      </c>
      <c r="E33" s="50">
        <f>SUMIF('13'!$N$54:$N$78,"AdministrationMentoring/Induction",'13'!$G$54:$G$78)</f>
        <v>0</v>
      </c>
      <c r="F33" s="50">
        <f>SUMIF('13'!$N$89:$N$113,"AdministrationMentoring/Induction",'13'!$G$89:$G$113)</f>
        <v>0</v>
      </c>
      <c r="G33" s="50">
        <f>SUMIF('13'!$N$124:$N$148,"AdministrationMentoring/Induction",'13'!$G$124:$G$148)</f>
        <v>0</v>
      </c>
      <c r="H33" s="50">
        <f>SUMIF('13'!$N$159:$N$183,"AdministrationMentoring/Induction",'13'!$G$159:$G$183)</f>
        <v>0</v>
      </c>
      <c r="I33" s="50">
        <f>SUMIF('13'!$N$194:$N$216,"AdministrationMentoring/Induction",'13'!$G$194:$G$216)</f>
        <v>0</v>
      </c>
      <c r="J33" s="170">
        <f t="shared" si="0"/>
        <v>0</v>
      </c>
      <c r="K33" s="840"/>
    </row>
    <row r="34" spans="1:11" ht="12.75" customHeight="1" x14ac:dyDescent="0.2">
      <c r="A34" s="852"/>
      <c r="B34" s="856"/>
      <c r="C34" s="36" t="s">
        <v>122</v>
      </c>
      <c r="D34" s="49">
        <f>SUMIF('13'!$N$14:$N$43,"AdministrationTeacher Testing",'13'!$G$14:$G$43)</f>
        <v>0</v>
      </c>
      <c r="E34" s="50">
        <f>SUMIF('13'!$N$54:$N$78,"AdministrationTeacher Testing",'13'!$G$54:$G$78)</f>
        <v>0</v>
      </c>
      <c r="F34" s="50">
        <f>SUMIF('13'!$N$89:$N$113,"AdministrationTeacher Testing",'13'!$G$89:$G$113)</f>
        <v>0</v>
      </c>
      <c r="G34" s="50">
        <f>SUMIF('13'!$N$124:$N$148,"AdministrationTeacher Testing",'13'!$G$124:$G$148)</f>
        <v>0</v>
      </c>
      <c r="H34" s="50">
        <f>SUMIF('13'!$N$159:$N$183,"AdministrationTeacher Testing",'13'!$G$159:$G$183)</f>
        <v>0</v>
      </c>
      <c r="I34" s="50">
        <f>SUMIF('13'!$N$194:$N$216,"AdministrationTeacher Testing",'13'!$G$194:$G$216)</f>
        <v>0</v>
      </c>
      <c r="J34" s="170">
        <f t="shared" si="0"/>
        <v>0</v>
      </c>
      <c r="K34" s="840"/>
    </row>
    <row r="35" spans="1:11" ht="12.75" customHeight="1" x14ac:dyDescent="0.2">
      <c r="A35" s="852"/>
      <c r="B35" s="856"/>
      <c r="C35" s="36" t="s">
        <v>124</v>
      </c>
      <c r="D35" s="49">
        <f>SUMIF('13'!$N$14:$N$43,"AdministrationPrincipal Development",'13'!$G$14:$G$43)</f>
        <v>0</v>
      </c>
      <c r="E35" s="50">
        <f>SUMIF('13'!$N$54:$N$78,"AdministrationPrincipal Development",'13'!$G$54:$G$78)</f>
        <v>0</v>
      </c>
      <c r="F35" s="50">
        <f>SUMIF('13'!$N$89:$N$113,"AdministrationPrincipal Development",'13'!$G$89:$G$113)</f>
        <v>0</v>
      </c>
      <c r="G35" s="50">
        <f>SUMIF('13'!$N$124:$N$148,"AdministrationPrincipal Development",'13'!$G$124:$G$148)</f>
        <v>0</v>
      </c>
      <c r="H35" s="50">
        <f>SUMIF('13'!$N$159:$N$183,"AdministrationPrincipal Development",'13'!$G$159:$G$183)</f>
        <v>0</v>
      </c>
      <c r="I35" s="50">
        <f>SUMIF('13'!$N$194:$N$216,"AdministrationPrincipal Development",'13'!$G$194:$G$216)</f>
        <v>0</v>
      </c>
      <c r="J35" s="170">
        <f t="shared" si="0"/>
        <v>0</v>
      </c>
      <c r="K35" s="840"/>
    </row>
    <row r="36" spans="1:11" ht="12.75" customHeight="1" x14ac:dyDescent="0.2">
      <c r="A36" s="852"/>
      <c r="B36" s="856"/>
      <c r="C36" s="36" t="s">
        <v>123</v>
      </c>
      <c r="D36" s="49">
        <f>SUMIF('13'!$N$14:$N$43,"AdministrationMerit Pay",'13'!$G$14:$G$43)</f>
        <v>0</v>
      </c>
      <c r="E36" s="50">
        <f>SUMIF('13'!$N$54:$N$78,"AdministrationMerit Pay",'13'!$G$54:$G$78)</f>
        <v>0</v>
      </c>
      <c r="F36" s="50">
        <f>SUMIF('13'!$N$89:$N$113,"AdministrationMerit Pay",'13'!$G$89:$G$113)</f>
        <v>0</v>
      </c>
      <c r="G36" s="50">
        <f>SUMIF('13'!$N$124:$N$148,"AdministrationMerit Pay",'13'!$G$124:$G$148)</f>
        <v>0</v>
      </c>
      <c r="H36" s="50">
        <f>SUMIF('13'!$N$159:$N$183,"AdministrationMerit Pay",'13'!$G$159:$G$183)</f>
        <v>0</v>
      </c>
      <c r="I36" s="50">
        <f>SUMIF('13'!$N$194:$N$216,"AdministrationMerit Pay",'13'!$G$194:$G$216)</f>
        <v>0</v>
      </c>
      <c r="J36" s="170">
        <f t="shared" si="0"/>
        <v>0</v>
      </c>
      <c r="K36" s="840"/>
    </row>
    <row r="37" spans="1:11" ht="12.75" customHeight="1" x14ac:dyDescent="0.2">
      <c r="A37" s="852"/>
      <c r="B37" s="856"/>
      <c r="C37" s="36" t="s">
        <v>120</v>
      </c>
      <c r="D37" s="49">
        <f>SUMIF('13'!$N$14:$N$43,"AdministrationClass-size Reduction",'13'!$G$14:$G$43)</f>
        <v>0</v>
      </c>
      <c r="E37" s="50">
        <f>SUMIF('13'!$N$54:$N$78,"AdministrationClass-size Reduction",'13'!$G$54:$G$78)</f>
        <v>0</v>
      </c>
      <c r="F37" s="50">
        <f>SUMIF('13'!$N$89:$N$113,"AdministrationClass-size Reduction",'13'!$G$89:$G$113)</f>
        <v>0</v>
      </c>
      <c r="G37" s="50">
        <f>SUMIF('13'!$N$124:$N$148,"AdministrationClass-size Reduction",'13'!$G$124:$G$148)</f>
        <v>0</v>
      </c>
      <c r="H37" s="50">
        <f>SUMIF('13'!$N$159:$N$183,"AdministrationClass-size Reduction",'13'!$G$159:$G$183)</f>
        <v>0</v>
      </c>
      <c r="I37" s="50">
        <f>SUMIF('13'!$N$194:$N$216,"AdministrationClass-size Reduction",'13'!$G$194:$G$216)</f>
        <v>0</v>
      </c>
      <c r="J37" s="170">
        <f t="shared" si="0"/>
        <v>0</v>
      </c>
      <c r="K37" s="840"/>
    </row>
    <row r="38" spans="1:11" ht="12.75" customHeight="1" x14ac:dyDescent="0.2">
      <c r="A38" s="852"/>
      <c r="B38" s="856"/>
      <c r="C38" s="36" t="s">
        <v>121</v>
      </c>
      <c r="D38" s="49">
        <f>SUMIF('13'!$N$14:$N$43,"AdministrationTeacher Advancement",'13'!$G$14:$G$43)</f>
        <v>0</v>
      </c>
      <c r="E38" s="50">
        <f>SUMIF('13'!$N$54:$N$78,"AdministrationTeacher Advancement",'13'!$G$54:$G$78)</f>
        <v>0</v>
      </c>
      <c r="F38" s="50">
        <f>SUMIF('13'!$N$89:$N$113,"AdministrationTeacher Advancement",'13'!$G$89:$G$113)</f>
        <v>0</v>
      </c>
      <c r="G38" s="50">
        <f>SUMIF('13'!$N$124:$N$148,"AdministrationTeacher Advancement",'13'!$G$124:$G$148)</f>
        <v>0</v>
      </c>
      <c r="H38" s="50">
        <f>SUMIF('13'!$N$159:$N$183,"AdministrationTeacher Advancement",'13'!$G$159:$G$183)</f>
        <v>0</v>
      </c>
      <c r="I38" s="50">
        <f>SUMIF('13'!$N$194:$N$216,"AdministrationTeacher Advancement",'13'!$G$194:$G$216)</f>
        <v>0</v>
      </c>
      <c r="J38" s="170">
        <f t="shared" si="0"/>
        <v>0</v>
      </c>
      <c r="K38" s="840"/>
    </row>
    <row r="39" spans="1:11" ht="12.75" customHeight="1" x14ac:dyDescent="0.2">
      <c r="A39" s="852"/>
      <c r="B39" s="856"/>
      <c r="C39" s="36" t="s">
        <v>108</v>
      </c>
      <c r="D39" s="49">
        <f>SUMIF('13'!$N$14:$N$43,"AdministrationEquitable Services",'13'!$G$14:$G$43)</f>
        <v>0</v>
      </c>
      <c r="E39" s="50">
        <f>SUMIF('13'!$N$54:$N$78,"AdministrationEquitable Services",'13'!$G$54:$G$78)</f>
        <v>0</v>
      </c>
      <c r="F39" s="50">
        <f>SUMIF('13'!$N$89:$N$113,"AdministrationEquitable Services",'13'!$G$89:$G$113)</f>
        <v>0</v>
      </c>
      <c r="G39" s="50">
        <f>SUMIF('13'!$N$124:$N$148,"AdministrationEquitable Services",'13'!$G$124:$G$148)</f>
        <v>50000</v>
      </c>
      <c r="H39" s="50">
        <f>SUMIF('13'!$N$159:$N$183,"AdministrationEquitable Services",'13'!$G$159:$G$183)</f>
        <v>0</v>
      </c>
      <c r="I39" s="50">
        <f>SUMIF('13'!$N$194:$N$216,"AdministrationEquitable Services",'13'!$G$194:$G$216)</f>
        <v>0</v>
      </c>
      <c r="J39" s="170">
        <f t="shared" si="0"/>
        <v>50000</v>
      </c>
      <c r="K39" s="840"/>
    </row>
    <row r="40" spans="1:11" ht="12.75" customHeight="1" x14ac:dyDescent="0.2">
      <c r="A40" s="852"/>
      <c r="B40" s="856"/>
      <c r="C40" s="36" t="s">
        <v>52</v>
      </c>
      <c r="D40" s="49">
        <f>SUMIF('13'!$N$14:$N$43,"AdministrationOther",'13'!$G$14:$G$43)</f>
        <v>0</v>
      </c>
      <c r="E40" s="50">
        <f>SUMIF('13'!$N$54:$N$78,"AdministrationOther",'13'!$G$54:$G$78)</f>
        <v>0</v>
      </c>
      <c r="F40" s="50">
        <f>SUMIF('13'!$N$89:$N$113,"AdministrationOther",'13'!$G$89:$G$113)</f>
        <v>0</v>
      </c>
      <c r="G40" s="50">
        <f>SUMIF('13'!$N$124:$N$148,"AdministrationOther",'13'!$G$124:$G$148)</f>
        <v>0</v>
      </c>
      <c r="H40" s="50">
        <f>SUMIF('13'!$N$159:$N$183,"AdministrationOther",'13'!$G$159:$G$183)</f>
        <v>0</v>
      </c>
      <c r="I40" s="50">
        <f>SUMIF('13'!$N$194:$N$216,"AdministrationOther",'13'!$G$194:$G$216)</f>
        <v>0</v>
      </c>
      <c r="J40" s="170">
        <f t="shared" si="0"/>
        <v>0</v>
      </c>
      <c r="K40" s="840"/>
    </row>
    <row r="41" spans="1:11" ht="13.5" customHeight="1" thickBot="1" x14ac:dyDescent="0.25">
      <c r="A41" s="852"/>
      <c r="B41" s="945"/>
      <c r="C41" s="37" t="s">
        <v>112</v>
      </c>
      <c r="D41" s="38">
        <f t="shared" ref="D41:I41" si="3">SUM(D31:D40)</f>
        <v>0</v>
      </c>
      <c r="E41" s="38">
        <f t="shared" si="3"/>
        <v>0</v>
      </c>
      <c r="F41" s="38">
        <f t="shared" si="3"/>
        <v>0</v>
      </c>
      <c r="G41" s="38">
        <f t="shared" si="3"/>
        <v>50000</v>
      </c>
      <c r="H41" s="38">
        <f t="shared" si="3"/>
        <v>0</v>
      </c>
      <c r="I41" s="38">
        <f t="shared" si="3"/>
        <v>0</v>
      </c>
      <c r="J41" s="41">
        <f t="shared" si="0"/>
        <v>50000</v>
      </c>
      <c r="K41" s="840"/>
    </row>
    <row r="42" spans="1:11" ht="12.75" customHeight="1" x14ac:dyDescent="0.2">
      <c r="A42" s="852"/>
      <c r="B42" s="854" t="s">
        <v>90</v>
      </c>
      <c r="C42" s="35" t="s">
        <v>119</v>
      </c>
      <c r="D42" s="47">
        <f>SUMIF('13'!$N$14:$N$43,"Operations &amp; MaintenanceRecruit./Retention",'13'!$G$14:$G$43)</f>
        <v>0</v>
      </c>
      <c r="E42" s="48">
        <f>SUMIF('13'!$N$54:$N$78,"Operations &amp; MaintenanceRecruit./Retention",'13'!$G$54:$G$78)</f>
        <v>0</v>
      </c>
      <c r="F42" s="48">
        <f>SUMIF('13'!$N$89:$N$113,"Operations &amp; MaintenanceRecruit./Retention",'13'!$G$89:$G$113)</f>
        <v>0</v>
      </c>
      <c r="G42" s="48">
        <f>SUMIF('13'!$N$124:$N$148,"Operations &amp; MaintenanceRecruit./Retention",'13'!$G$124:$G$148)</f>
        <v>0</v>
      </c>
      <c r="H42" s="48">
        <f>SUMIF('13'!$N$159:$N$183,"Operations &amp; MaintenanceRecruit./Retention",'13'!$G$159:$G$183)</f>
        <v>0</v>
      </c>
      <c r="I42" s="48">
        <f>SUMIF('13'!$N$194:$N$216,"Operations &amp; MaintenanceRecruit./Retention",'13'!$G$194:$G$216)</f>
        <v>0</v>
      </c>
      <c r="J42" s="169">
        <f t="shared" si="0"/>
        <v>0</v>
      </c>
      <c r="K42" s="840"/>
    </row>
    <row r="43" spans="1:11" x14ac:dyDescent="0.2">
      <c r="A43" s="852"/>
      <c r="B43" s="856"/>
      <c r="C43" s="36" t="s">
        <v>109</v>
      </c>
      <c r="D43" s="49">
        <f>SUMIF('13'!$N$14:$N$43,"Operations &amp; MaintenanceProf. Development",'13'!$G$14:$G$43)</f>
        <v>0</v>
      </c>
      <c r="E43" s="50">
        <f>SUMIF('13'!$N$54:$N$78,"Operations &amp; MaintenanceProf. Development",'13'!$G$54:$G$78)</f>
        <v>0</v>
      </c>
      <c r="F43" s="50">
        <f>SUMIF('13'!$N$89:$N$113,"Operations &amp; MaintenanceProf. Development",'13'!$G$89:$G$113)</f>
        <v>0</v>
      </c>
      <c r="G43" s="50">
        <f>SUMIF('13'!$N$124:$N$148,"Operations &amp; MaintenanceProf. Development",'13'!$G$124:$G$148)</f>
        <v>0</v>
      </c>
      <c r="H43" s="50">
        <f>SUMIF('13'!$N$159:$N$183,"Operations &amp; MaintenanceProf. Development",'13'!$G$159:$G$183)</f>
        <v>0</v>
      </c>
      <c r="I43" s="50">
        <f>SUMIF('13'!$N$194:$N$216,"Operations &amp; MaintenanceProf. Development",'13'!$G$194:$G$216)</f>
        <v>0</v>
      </c>
      <c r="J43" s="170">
        <f t="shared" si="0"/>
        <v>0</v>
      </c>
      <c r="K43" s="840"/>
    </row>
    <row r="44" spans="1:11" x14ac:dyDescent="0.2">
      <c r="A44" s="852"/>
      <c r="B44" s="856"/>
      <c r="C44" s="36" t="s">
        <v>125</v>
      </c>
      <c r="D44" s="49">
        <f>SUMIF('13'!$N$14:$N$43,"Operations &amp; MaintenanceMentoring/Induction",'13'!$G$14:$G$43)</f>
        <v>0</v>
      </c>
      <c r="E44" s="50">
        <f>SUMIF('13'!$N$54:$N$78,"Operations &amp; MaintenanceMentoring/Induction",'13'!$G$54:$G$78)</f>
        <v>0</v>
      </c>
      <c r="F44" s="50">
        <f>SUMIF('13'!$N$89:$N$113,"Operations &amp; MaintenanceMentoring/Induction",'13'!$G$89:$G$113)</f>
        <v>0</v>
      </c>
      <c r="G44" s="50">
        <f>SUMIF('13'!$N$124:$N$148,"Operations &amp; MaintenanceMentoring/Induction",'13'!$G$124:$G$148)</f>
        <v>0</v>
      </c>
      <c r="H44" s="50">
        <f>SUMIF('13'!$N$159:$N$183,"Operations &amp; MaintenanceMentoring/Induction",'13'!$G$159:$G$183)</f>
        <v>0</v>
      </c>
      <c r="I44" s="50">
        <f>SUMIF('13'!$N$194:$N$216,"Operations &amp; MaintenanceMentoring/Induction",'13'!$G$194:$G$216)</f>
        <v>0</v>
      </c>
      <c r="J44" s="170">
        <f t="shared" si="0"/>
        <v>0</v>
      </c>
      <c r="K44" s="840"/>
    </row>
    <row r="45" spans="1:11" x14ac:dyDescent="0.2">
      <c r="A45" s="852"/>
      <c r="B45" s="856"/>
      <c r="C45" s="36" t="s">
        <v>122</v>
      </c>
      <c r="D45" s="49">
        <f>SUMIF('13'!$N$14:$N$43,"Operations &amp; MaintenanceTeacher Testing",'13'!$G$14:$G$43)</f>
        <v>0</v>
      </c>
      <c r="E45" s="50">
        <f>SUMIF('13'!$N$54:$N$78,"Operations &amp; MaintenanceTeacher Testing",'13'!$G$54:$G$78)</f>
        <v>0</v>
      </c>
      <c r="F45" s="50">
        <f>SUMIF('13'!$N$89:$N$113,"Operations &amp; MaintenanceTeacher Testing",'13'!$G$89:$G$113)</f>
        <v>0</v>
      </c>
      <c r="G45" s="50">
        <f>SUMIF('13'!$N$124:$N$148,"Operations &amp; MaintenanceTeacher Testing",'13'!$G$124:$G$148)</f>
        <v>0</v>
      </c>
      <c r="H45" s="50">
        <f>SUMIF('13'!$N$159:$N$183,"Operations &amp; MaintenanceTeacher Testing",'13'!$G$159:$G$183)</f>
        <v>0</v>
      </c>
      <c r="I45" s="50">
        <f>SUMIF('13'!$N$194:$N$216,"Operations &amp; MaintenanceTeacher Testing",'13'!$G$194:$G$216)</f>
        <v>0</v>
      </c>
      <c r="J45" s="170">
        <f t="shared" si="0"/>
        <v>0</v>
      </c>
      <c r="K45" s="840"/>
    </row>
    <row r="46" spans="1:11" x14ac:dyDescent="0.2">
      <c r="A46" s="852"/>
      <c r="B46" s="856"/>
      <c r="C46" s="36" t="s">
        <v>124</v>
      </c>
      <c r="D46" s="49">
        <f>SUMIF('13'!$N$14:$N$43,"Operations &amp; MaintenancePrincipal Development",'13'!$G$14:$G$43)</f>
        <v>0</v>
      </c>
      <c r="E46" s="50">
        <f>SUMIF('13'!$N$54:$N$78,"Operations &amp; MaintenancePrincipal Development",'13'!$G$54:$G$78)</f>
        <v>0</v>
      </c>
      <c r="F46" s="50">
        <f>SUMIF('13'!$N$89:$N$113,"Operations &amp; MaintenancePrincipal Development",'13'!$G$89:$G$113)</f>
        <v>0</v>
      </c>
      <c r="G46" s="50">
        <f>SUMIF('13'!$N$124:$N$148,"Operations &amp; MaintenancePrincipal Development",'13'!$G$124:$G$148)</f>
        <v>0</v>
      </c>
      <c r="H46" s="50">
        <f>SUMIF('13'!$N$159:$N$183,"Operations &amp; MaintenancePrincipal Development",'13'!$G$159:$G$183)</f>
        <v>0</v>
      </c>
      <c r="I46" s="50">
        <f>SUMIF('13'!$N$194:$N$216,"Operations &amp; MaintenancePrincipal Development",'13'!$G$194:$G$216)</f>
        <v>0</v>
      </c>
      <c r="J46" s="170">
        <f t="shared" si="0"/>
        <v>0</v>
      </c>
      <c r="K46" s="840"/>
    </row>
    <row r="47" spans="1:11" x14ac:dyDescent="0.2">
      <c r="A47" s="852"/>
      <c r="B47" s="856"/>
      <c r="C47" s="36" t="s">
        <v>123</v>
      </c>
      <c r="D47" s="49">
        <f>SUMIF('13'!$N$14:$N$43,"Operations &amp; MaintenanceMerit Pay",'13'!$G$14:$G$43)</f>
        <v>0</v>
      </c>
      <c r="E47" s="50">
        <f>SUMIF('13'!$N$54:$N$78,"Operations &amp; MaintenanceMerit Pay",'13'!$G$54:$G$78)</f>
        <v>0</v>
      </c>
      <c r="F47" s="50">
        <f>SUMIF('13'!$N$89:$N$113,"Operations &amp; MaintenanceMerit Pay",'13'!$G$89:$G$113)</f>
        <v>0</v>
      </c>
      <c r="G47" s="50">
        <f>SUMIF('13'!$N$124:$N$148,"Operations &amp; MaintenanceMerit Pay",'13'!$G$124:$G$148)</f>
        <v>0</v>
      </c>
      <c r="H47" s="50">
        <f>SUMIF('13'!$N$159:$N$183,"Operations &amp; MaintenanceMerit Pay",'13'!$G$159:$G$183)</f>
        <v>0</v>
      </c>
      <c r="I47" s="50">
        <f>SUMIF('13'!$N$194:$N$216,"Operations &amp; MaintenanceMerit Pay",'13'!$G$194:$G$216)</f>
        <v>0</v>
      </c>
      <c r="J47" s="170">
        <f t="shared" si="0"/>
        <v>0</v>
      </c>
      <c r="K47" s="840"/>
    </row>
    <row r="48" spans="1:11" x14ac:dyDescent="0.2">
      <c r="A48" s="852"/>
      <c r="B48" s="856"/>
      <c r="C48" s="36" t="s">
        <v>120</v>
      </c>
      <c r="D48" s="49">
        <f>SUMIF('13'!$N$14:$N$43,"Operations &amp; MaintenanceClass-size Reduction",'13'!$G$14:$G$43)</f>
        <v>0</v>
      </c>
      <c r="E48" s="50">
        <f>SUMIF('13'!$N$54:$N$78,"Operations &amp; MaintenanceClass-size Reduction",'13'!$G$54:$G$78)</f>
        <v>0</v>
      </c>
      <c r="F48" s="50">
        <f>SUMIF('13'!$N$89:$N$113,"Operations &amp; MaintenanceClass-size Reduction",'13'!$G$89:$G$113)</f>
        <v>0</v>
      </c>
      <c r="G48" s="50">
        <f>SUMIF('13'!$N$124:$N$148,"Operations &amp; MaintenanceClass-size Reduction",'13'!$G$124:$G$148)</f>
        <v>0</v>
      </c>
      <c r="H48" s="50">
        <f>SUMIF('13'!$N$159:$N$183,"Operations &amp; MaintenanceClass-size Reduction",'13'!$G$159:$G$183)</f>
        <v>0</v>
      </c>
      <c r="I48" s="50">
        <f>SUMIF('13'!$N$194:$N$216,"Operations &amp; MaintenanceClass-size Reduction",'13'!$G$194:$G$216)</f>
        <v>0</v>
      </c>
      <c r="J48" s="170">
        <f t="shared" si="0"/>
        <v>0</v>
      </c>
      <c r="K48" s="840"/>
    </row>
    <row r="49" spans="1:11" x14ac:dyDescent="0.2">
      <c r="A49" s="852"/>
      <c r="B49" s="856"/>
      <c r="C49" s="36" t="s">
        <v>121</v>
      </c>
      <c r="D49" s="49">
        <f>SUMIF('13'!$N$14:$N$43,"Operations &amp; MaintenanceTeacher Advancement",'13'!$G$14:$G$43)</f>
        <v>0</v>
      </c>
      <c r="E49" s="50">
        <f>SUMIF('13'!$N$54:$N$78,"Operations &amp; MaintenanceTeacher Advancement",'13'!$G$54:$G$78)</f>
        <v>0</v>
      </c>
      <c r="F49" s="50">
        <f>SUMIF('13'!$N$89:$N$113,"Operations &amp; MaintenanceTeacher Advancement",'13'!$G$89:$G$113)</f>
        <v>0</v>
      </c>
      <c r="G49" s="50">
        <f>SUMIF('13'!$N$124:$N$148,"Operations &amp; MaintenanceTeacher Advancement",'13'!$G$124:$G$148)</f>
        <v>0</v>
      </c>
      <c r="H49" s="50">
        <f>SUMIF('13'!$N$159:$N$183,"Operations &amp; MaintenanceTeacher Advancement",'13'!$G$159:$G$183)</f>
        <v>0</v>
      </c>
      <c r="I49" s="50">
        <f>SUMIF('13'!$N$194:$N$216,"Operations &amp; MaintenanceTeacher Advancement",'13'!$G$194:$G$216)</f>
        <v>0</v>
      </c>
      <c r="J49" s="170">
        <f t="shared" si="0"/>
        <v>0</v>
      </c>
      <c r="K49" s="840"/>
    </row>
    <row r="50" spans="1:11" x14ac:dyDescent="0.2">
      <c r="A50" s="852"/>
      <c r="B50" s="856"/>
      <c r="C50" s="36" t="s">
        <v>108</v>
      </c>
      <c r="D50" s="49">
        <f>SUMIF('13'!$N$14:$N$43,"Operations &amp; MaintenanceEquitable Services",'13'!$G$14:$G$43)</f>
        <v>0</v>
      </c>
      <c r="E50" s="50">
        <f>SUMIF('13'!$N$54:$N$78,"Operations &amp; MaintenanceEquitable Services",'13'!$G$54:$G$78)</f>
        <v>0</v>
      </c>
      <c r="F50" s="50">
        <f>SUMIF('13'!$N$89:$N$113,"Operations &amp; MaintenanceEquitable Services",'13'!$G$89:$G$113)</f>
        <v>0</v>
      </c>
      <c r="G50" s="50">
        <f>SUMIF('13'!$N$124:$N$148,"Operations &amp; MaintenanceEquitable Services",'13'!$G$124:$G$148)</f>
        <v>0</v>
      </c>
      <c r="H50" s="50">
        <f>SUMIF('13'!$N$159:$N$183,"Operations &amp; MaintenanceEquitable Services",'13'!$G$159:$G$183)</f>
        <v>0</v>
      </c>
      <c r="I50" s="50">
        <f>SUMIF('13'!$N$194:$N$216,"Operations &amp; MaintenanceEquitable Services",'13'!$G$194:$G$216)</f>
        <v>0</v>
      </c>
      <c r="J50" s="170">
        <f t="shared" si="0"/>
        <v>0</v>
      </c>
      <c r="K50" s="840"/>
    </row>
    <row r="51" spans="1:11" x14ac:dyDescent="0.2">
      <c r="A51" s="852"/>
      <c r="B51" s="856"/>
      <c r="C51" s="36" t="s">
        <v>52</v>
      </c>
      <c r="D51" s="49">
        <f>SUMIF('13'!$N$14:$N$43,"Operations &amp; MaintenanceOther",'13'!$G$14:$G$43)</f>
        <v>0</v>
      </c>
      <c r="E51" s="50">
        <f>SUMIF('13'!$N$54:$N$78,"Operations &amp; MaintenanceOther",'13'!$G$54:$G$78)</f>
        <v>0</v>
      </c>
      <c r="F51" s="50">
        <f>SUMIF('13'!$N$89:$N$113,"Operations &amp; MaintenanceOther",'13'!$G$89:$G$113)</f>
        <v>0</v>
      </c>
      <c r="G51" s="50">
        <f>SUMIF('13'!$N$124:$N$148,"Operations &amp; MaintenanceOther",'13'!$G$124:$G$148)</f>
        <v>0</v>
      </c>
      <c r="H51" s="50">
        <f>SUMIF('13'!$N$159:$N$183,"Operations &amp; MaintenanceOther",'13'!$G$159:$G$183)</f>
        <v>0</v>
      </c>
      <c r="I51" s="50">
        <f>SUMIF('13'!$N$194:$N$216,"Operations &amp; MaintenanceOther",'13'!$G$194:$G$216)</f>
        <v>0</v>
      </c>
      <c r="J51" s="170">
        <f t="shared" si="0"/>
        <v>0</v>
      </c>
      <c r="K51" s="840"/>
    </row>
    <row r="52" spans="1:11" ht="13.5" thickBot="1" x14ac:dyDescent="0.25">
      <c r="A52" s="852"/>
      <c r="B52" s="945"/>
      <c r="C52" s="37" t="s">
        <v>112</v>
      </c>
      <c r="D52" s="38">
        <f t="shared" ref="D52:I52" si="4">SUM(D42:D51)</f>
        <v>0</v>
      </c>
      <c r="E52" s="38">
        <f t="shared" si="4"/>
        <v>0</v>
      </c>
      <c r="F52" s="38">
        <f t="shared" si="4"/>
        <v>0</v>
      </c>
      <c r="G52" s="38">
        <f t="shared" si="4"/>
        <v>0</v>
      </c>
      <c r="H52" s="38">
        <f t="shared" si="4"/>
        <v>0</v>
      </c>
      <c r="I52" s="38">
        <f t="shared" si="4"/>
        <v>0</v>
      </c>
      <c r="J52" s="41">
        <f t="shared" si="0"/>
        <v>0</v>
      </c>
      <c r="K52" s="840"/>
    </row>
    <row r="53" spans="1:11" ht="12.75" customHeight="1" x14ac:dyDescent="0.2">
      <c r="A53" s="852"/>
      <c r="B53" s="854" t="s">
        <v>95</v>
      </c>
      <c r="C53" s="35" t="s">
        <v>119</v>
      </c>
      <c r="D53" s="47">
        <f>SUMIF('13'!$N$14:$N$43,"Student TransportationRecruit./Retention",'13'!$G$14:$G$43)</f>
        <v>0</v>
      </c>
      <c r="E53" s="48">
        <f>SUMIF('13'!$N$54:$N$78,"Student TransportationRecruit./Retention",'13'!$G$54:$G$78)</f>
        <v>0</v>
      </c>
      <c r="F53" s="48">
        <f>SUMIF('13'!$N$89:$N$113,"Student TransportationRecruit./Retention",'13'!$G$89:$G$113)</f>
        <v>0</v>
      </c>
      <c r="G53" s="48">
        <f>SUMIF('13'!$N$124:$N$148,"Student TransportationRecruit./Retention",'13'!$G$124:$G$148)</f>
        <v>0</v>
      </c>
      <c r="H53" s="48">
        <f>SUMIF('13'!$N$159:$N$183,"Student TransportationRecruit./Retention",'13'!$G$159:$G$183)</f>
        <v>0</v>
      </c>
      <c r="I53" s="48">
        <f>SUMIF('13'!$N$194:$N$216,"Student TransportationRecruit./Retention",'13'!$G$194:$G$216)</f>
        <v>0</v>
      </c>
      <c r="J53" s="169">
        <f t="shared" si="0"/>
        <v>0</v>
      </c>
      <c r="K53" s="840"/>
    </row>
    <row r="54" spans="1:11" x14ac:dyDescent="0.2">
      <c r="A54" s="852"/>
      <c r="B54" s="856"/>
      <c r="C54" s="36" t="s">
        <v>109</v>
      </c>
      <c r="D54" s="49">
        <f>SUMIF('13'!$N$14:$N$43,"Student TransportationProf. Development",'13'!$G$14:$G$43)</f>
        <v>0</v>
      </c>
      <c r="E54" s="50">
        <f>SUMIF('13'!$N$54:$N$78,"Student TransportationProf. Development",'13'!$G$54:$G$78)</f>
        <v>0</v>
      </c>
      <c r="F54" s="50">
        <f>SUMIF('13'!$N$89:$N$113,"Student TransportationProf. Development",'13'!$G$89:$G$113)</f>
        <v>0</v>
      </c>
      <c r="G54" s="50">
        <f>SUMIF('13'!$N$124:$N$148,"Student TransportationProf. Development",'13'!$G$124:$G$148)</f>
        <v>0</v>
      </c>
      <c r="H54" s="50">
        <f>SUMIF('13'!$N$159:$N$183,"Student TransportationProf. Development",'13'!$G$159:$G$183)</f>
        <v>0</v>
      </c>
      <c r="I54" s="50">
        <f>SUMIF('13'!$N$194:$N$216,"Student TransportationProf. Development",'13'!$G$194:$G$216)</f>
        <v>0</v>
      </c>
      <c r="J54" s="170">
        <f t="shared" si="0"/>
        <v>0</v>
      </c>
      <c r="K54" s="840"/>
    </row>
    <row r="55" spans="1:11" x14ac:dyDescent="0.2">
      <c r="A55" s="852"/>
      <c r="B55" s="856"/>
      <c r="C55" s="36" t="s">
        <v>125</v>
      </c>
      <c r="D55" s="49">
        <f>SUMIF('13'!$N$14:$N$43,"Student TransportationMentoring/Induction",'13'!$G$14:$G$43)</f>
        <v>0</v>
      </c>
      <c r="E55" s="50">
        <f>SUMIF('13'!$N$54:$N$78,"Student TransportationMentoring/Induction",'13'!$G$54:$G$78)</f>
        <v>0</v>
      </c>
      <c r="F55" s="50">
        <f>SUMIF('13'!$N$89:$N$113,"Student TransportationMentoring/Induction",'13'!$G$89:$G$113)</f>
        <v>0</v>
      </c>
      <c r="G55" s="50">
        <f>SUMIF('13'!$N$124:$N$148,"Student TransportationMentoring/Induction",'13'!$G$124:$G$148)</f>
        <v>0</v>
      </c>
      <c r="H55" s="50">
        <f>SUMIF('13'!$N$159:$N$183,"Student TransportationMentoring/Induction",'13'!$G$159:$G$183)</f>
        <v>0</v>
      </c>
      <c r="I55" s="50">
        <f>SUMIF('13'!$N$194:$N$216,"Student TransportationMentoring/Induction",'13'!$G$194:$G$216)</f>
        <v>0</v>
      </c>
      <c r="J55" s="170">
        <f t="shared" si="0"/>
        <v>0</v>
      </c>
      <c r="K55" s="840"/>
    </row>
    <row r="56" spans="1:11" x14ac:dyDescent="0.2">
      <c r="A56" s="852"/>
      <c r="B56" s="856"/>
      <c r="C56" s="36" t="s">
        <v>122</v>
      </c>
      <c r="D56" s="49">
        <f>SUMIF('13'!$N$14:$N$43,"Student TransportationTeacher Testing",'13'!$G$14:$G$43)</f>
        <v>0</v>
      </c>
      <c r="E56" s="50">
        <f>SUMIF('13'!$N$54:$N$78,"Student TransportationTeacher Testing",'13'!$G$54:$G$78)</f>
        <v>0</v>
      </c>
      <c r="F56" s="50">
        <f>SUMIF('13'!$N$89:$N$113,"Student TransportationTeacher Testing",'13'!$G$89:$G$113)</f>
        <v>0</v>
      </c>
      <c r="G56" s="50">
        <f>SUMIF('13'!$N$124:$N$148,"Student TransportationTeacher Testing",'13'!$G$124:$G$148)</f>
        <v>0</v>
      </c>
      <c r="H56" s="50">
        <f>SUMIF('13'!$N$159:$N$183,"Student TransportationTeacher Testing",'13'!$G$159:$G$183)</f>
        <v>0</v>
      </c>
      <c r="I56" s="50">
        <f>SUMIF('13'!$N$194:$N$216,"Student TransportationTeacher Testing",'13'!$G$194:$G$216)</f>
        <v>0</v>
      </c>
      <c r="J56" s="170">
        <f t="shared" si="0"/>
        <v>0</v>
      </c>
      <c r="K56" s="840"/>
    </row>
    <row r="57" spans="1:11" x14ac:dyDescent="0.2">
      <c r="A57" s="852"/>
      <c r="B57" s="856"/>
      <c r="C57" s="36" t="s">
        <v>124</v>
      </c>
      <c r="D57" s="49">
        <f>SUMIF('13'!$N$14:$N$43,"Student TransportationPrincipal Development",'13'!$G$14:$G$43)</f>
        <v>0</v>
      </c>
      <c r="E57" s="50">
        <f>SUMIF('13'!$N$54:$N$78,"Student TransportationPrincipal Development",'13'!$G$54:$G$78)</f>
        <v>0</v>
      </c>
      <c r="F57" s="50">
        <f>SUMIF('13'!$N$89:$N$113,"Student TransportationPrincipal Development",'13'!$G$89:$G$113)</f>
        <v>0</v>
      </c>
      <c r="G57" s="50">
        <f>SUMIF('13'!$N$124:$N$148,"Student TransportationPrincipal Development",'13'!$G$124:$G$148)</f>
        <v>0</v>
      </c>
      <c r="H57" s="50">
        <f>SUMIF('13'!$N$159:$N$183,"Student TransportationPrincipal Development",'13'!$G$159:$G$183)</f>
        <v>0</v>
      </c>
      <c r="I57" s="50">
        <f>SUMIF('13'!$N$194:$N$216,"Student TransportationPrincipal Development",'13'!$G$194:$G$216)</f>
        <v>0</v>
      </c>
      <c r="J57" s="170">
        <f t="shared" si="0"/>
        <v>0</v>
      </c>
      <c r="K57" s="840"/>
    </row>
    <row r="58" spans="1:11" x14ac:dyDescent="0.2">
      <c r="A58" s="852"/>
      <c r="B58" s="856"/>
      <c r="C58" s="36" t="s">
        <v>123</v>
      </c>
      <c r="D58" s="49">
        <f>SUMIF('13'!$N$14:$N$43,"Student TransportationMerit Pay",'13'!$G$14:$G$43)</f>
        <v>0</v>
      </c>
      <c r="E58" s="50">
        <f>SUMIF('13'!$N$54:$N$78,"Student TransportationMerit Pay",'13'!$G$54:$G$78)</f>
        <v>0</v>
      </c>
      <c r="F58" s="50">
        <f>SUMIF('13'!$N$89:$N$113,"Student TransportationMerit Pay",'13'!$G$89:$G$113)</f>
        <v>0</v>
      </c>
      <c r="G58" s="50">
        <f>SUMIF('13'!$N$124:$N$148,"Student TransportationMerit Pay",'13'!$G$124:$G$148)</f>
        <v>0</v>
      </c>
      <c r="H58" s="50">
        <f>SUMIF('13'!$N$159:$N$183,"Student TransportationMerit Pay",'13'!$G$159:$G$183)</f>
        <v>0</v>
      </c>
      <c r="I58" s="50">
        <f>SUMIF('13'!$N$194:$N$216,"Student TransportationMerit Pay",'13'!$G$194:$G$216)</f>
        <v>0</v>
      </c>
      <c r="J58" s="170">
        <f t="shared" si="0"/>
        <v>0</v>
      </c>
      <c r="K58" s="840"/>
    </row>
    <row r="59" spans="1:11" x14ac:dyDescent="0.2">
      <c r="A59" s="852"/>
      <c r="B59" s="856"/>
      <c r="C59" s="36" t="s">
        <v>120</v>
      </c>
      <c r="D59" s="49">
        <f>SUMIF('13'!$N$14:$N$43,"Student TransportationClass-size Reduction",'13'!$G$14:$G$43)</f>
        <v>0</v>
      </c>
      <c r="E59" s="50">
        <f>SUMIF('13'!$N$54:$N$78,"Student TransportationClass-size Reduction",'13'!$G$54:$G$78)</f>
        <v>0</v>
      </c>
      <c r="F59" s="50">
        <f>SUMIF('13'!$N$89:$N$113,"Student TransportationClass-size Reduction",'13'!$G$89:$G$113)</f>
        <v>0</v>
      </c>
      <c r="G59" s="50">
        <f>SUMIF('13'!$N$124:$N$148,"Student TransportationClass-size Reduction",'13'!$G$124:$G$148)</f>
        <v>0</v>
      </c>
      <c r="H59" s="50">
        <f>SUMIF('13'!$N$159:$N$183,"Student TransportationClass-size Reduction",'13'!$G$159:$G$183)</f>
        <v>0</v>
      </c>
      <c r="I59" s="50">
        <f>SUMIF('13'!$N$194:$N$216,"Student TransportationClass-size Reduction",'13'!$G$194:$G$216)</f>
        <v>0</v>
      </c>
      <c r="J59" s="170">
        <f t="shared" si="0"/>
        <v>0</v>
      </c>
      <c r="K59" s="840"/>
    </row>
    <row r="60" spans="1:11" x14ac:dyDescent="0.2">
      <c r="A60" s="852"/>
      <c r="B60" s="856"/>
      <c r="C60" s="36" t="s">
        <v>121</v>
      </c>
      <c r="D60" s="49">
        <f>SUMIF('13'!$N$14:$N$43,"Student TransportationTeacher Advancement",'13'!$G$14:$G$43)</f>
        <v>0</v>
      </c>
      <c r="E60" s="50">
        <f>SUMIF('13'!$N$54:$N$78,"Student TransportationTeacher Advancement",'13'!$G$54:$G$78)</f>
        <v>0</v>
      </c>
      <c r="F60" s="50">
        <f>SUMIF('13'!$N$89:$N$113,"Student TransportationTeacher Advancement",'13'!$G$89:$G$113)</f>
        <v>0</v>
      </c>
      <c r="G60" s="50">
        <f>SUMIF('13'!$N$124:$N$148,"Student TransportationTeacher Advancement",'13'!$G$124:$G$148)</f>
        <v>0</v>
      </c>
      <c r="H60" s="50">
        <f>SUMIF('13'!$N$159:$N$183,"Student TransportationTeacher Advancement",'13'!$G$159:$G$183)</f>
        <v>0</v>
      </c>
      <c r="I60" s="50">
        <f>SUMIF('13'!$N$194:$N$216,"Student TransportationTeacher Advancement",'13'!$G$194:$G$216)</f>
        <v>0</v>
      </c>
      <c r="J60" s="170">
        <f t="shared" si="0"/>
        <v>0</v>
      </c>
      <c r="K60" s="840"/>
    </row>
    <row r="61" spans="1:11" x14ac:dyDescent="0.2">
      <c r="A61" s="852"/>
      <c r="B61" s="856"/>
      <c r="C61" s="36" t="s">
        <v>108</v>
      </c>
      <c r="D61" s="49">
        <f>SUMIF('13'!$N$14:$N$43,"Student TransportationEquitable Services",'13'!$G$14:$G$43)</f>
        <v>0</v>
      </c>
      <c r="E61" s="50">
        <f>SUMIF('13'!$N$54:$N$78,"Student TransportationEquitable Services",'13'!$G$54:$G$78)</f>
        <v>0</v>
      </c>
      <c r="F61" s="50">
        <f>SUMIF('13'!$N$89:$N$113,"Student TransportationEquitable Services",'13'!$G$89:$G$113)</f>
        <v>0</v>
      </c>
      <c r="G61" s="50">
        <f>SUMIF('13'!$N$124:$N$148,"Student TransportationEquitable Services",'13'!$G$124:$G$148)</f>
        <v>0</v>
      </c>
      <c r="H61" s="50">
        <f>SUMIF('13'!$N$159:$N$183,"Student TransportationEquitable Services",'13'!$G$159:$G$183)</f>
        <v>0</v>
      </c>
      <c r="I61" s="50">
        <f>SUMIF('13'!$N$194:$N$216,"Student TransportationEquitable Services",'13'!$G$194:$G$216)</f>
        <v>0</v>
      </c>
      <c r="J61" s="170">
        <f t="shared" si="0"/>
        <v>0</v>
      </c>
      <c r="K61" s="840"/>
    </row>
    <row r="62" spans="1:11" x14ac:dyDescent="0.2">
      <c r="A62" s="852"/>
      <c r="B62" s="856"/>
      <c r="C62" s="36" t="s">
        <v>52</v>
      </c>
      <c r="D62" s="49">
        <f>SUMIF('13'!$N$14:$N$43,"Student TransportationOther",'13'!$G$14:$G$43)</f>
        <v>0</v>
      </c>
      <c r="E62" s="50">
        <f>SUMIF('13'!$N$54:$N$78,"Student TransportationOther",'13'!$G$54:$G$78)</f>
        <v>0</v>
      </c>
      <c r="F62" s="50">
        <f>SUMIF('13'!$N$89:$N$113,"Student TransportationOther",'13'!$G$89:$G$113)</f>
        <v>0</v>
      </c>
      <c r="G62" s="50">
        <f>SUMIF('13'!$N$124:$N$148,"Student TransportationOther",'13'!$G$124:$G$148)</f>
        <v>0</v>
      </c>
      <c r="H62" s="50">
        <f>SUMIF('13'!$N$159:$N$183,"Student TransportationOther",'13'!$G$159:$G$183)</f>
        <v>0</v>
      </c>
      <c r="I62" s="50">
        <f>SUMIF('13'!$N$194:$N$216,"Student TransportationOther",'13'!$G$194:$G$216)</f>
        <v>0</v>
      </c>
      <c r="J62" s="170">
        <f t="shared" si="0"/>
        <v>0</v>
      </c>
      <c r="K62" s="840"/>
    </row>
    <row r="63" spans="1:11" ht="13.5" thickBot="1" x14ac:dyDescent="0.25">
      <c r="A63" s="852"/>
      <c r="B63" s="945"/>
      <c r="C63" s="37" t="s">
        <v>112</v>
      </c>
      <c r="D63" s="38">
        <f t="shared" ref="D63:I63" si="5">SUM(D53:D62)</f>
        <v>0</v>
      </c>
      <c r="E63" s="38">
        <f t="shared" si="5"/>
        <v>0</v>
      </c>
      <c r="F63" s="38">
        <f t="shared" si="5"/>
        <v>0</v>
      </c>
      <c r="G63" s="38">
        <f t="shared" si="5"/>
        <v>0</v>
      </c>
      <c r="H63" s="38">
        <f t="shared" si="5"/>
        <v>0</v>
      </c>
      <c r="I63" s="38">
        <f t="shared" si="5"/>
        <v>0</v>
      </c>
      <c r="J63" s="41">
        <f t="shared" si="0"/>
        <v>0</v>
      </c>
      <c r="K63" s="840"/>
    </row>
    <row r="64" spans="1:11" ht="12.75" customHeight="1" x14ac:dyDescent="0.2">
      <c r="A64" s="852"/>
      <c r="B64" s="854" t="s">
        <v>52</v>
      </c>
      <c r="C64" s="35" t="s">
        <v>119</v>
      </c>
      <c r="D64" s="47">
        <f>SUMIF('13'!$N$14:$N$43,"OtherRecruit./Retention",'13'!$G$14:$G$43)</f>
        <v>0</v>
      </c>
      <c r="E64" s="48">
        <f>SUMIF('13'!$N$54:$N$78,"OtherRecruit./Retention",'13'!$G$54:$G$78)</f>
        <v>0</v>
      </c>
      <c r="F64" s="48">
        <f>SUMIF('13'!$N$89:$N$113,"OtherRecruit./Retention",'13'!$G$89:$G$113)</f>
        <v>0</v>
      </c>
      <c r="G64" s="48">
        <f>SUMIF('13'!$N$124:$N$148,"OtherRecruit./Retention",'13'!$G$124:$G$148)</f>
        <v>0</v>
      </c>
      <c r="H64" s="48">
        <f>SUMIF('13'!$N$159:$N$183,"OtherRecruit./Retention",'13'!$G$159:$G$183)</f>
        <v>0</v>
      </c>
      <c r="I64" s="48">
        <f>SUMIF('13'!$N$194:$N$216,"OtherRecruit./Retention",'13'!$G$194:$G$216)</f>
        <v>0</v>
      </c>
      <c r="J64" s="169">
        <f t="shared" si="0"/>
        <v>0</v>
      </c>
      <c r="K64" s="840"/>
    </row>
    <row r="65" spans="1:11" x14ac:dyDescent="0.2">
      <c r="A65" s="852"/>
      <c r="B65" s="856"/>
      <c r="C65" s="36" t="s">
        <v>109</v>
      </c>
      <c r="D65" s="49">
        <f>SUMIF('13'!$N$14:$N$43,"OtherProf. Development",'13'!$G$14:$G$43)</f>
        <v>0</v>
      </c>
      <c r="E65" s="50">
        <f>SUMIF('13'!$N$54:$N$78,"OtherProf. Development",'13'!$G$54:$G$78)</f>
        <v>0</v>
      </c>
      <c r="F65" s="50">
        <f>SUMIF('13'!$N$89:$N$113,"OtherProf. Development",'13'!$G$89:$G$113)</f>
        <v>0</v>
      </c>
      <c r="G65" s="50">
        <f>SUMIF('13'!$N$124:$N$148,"OtherProf. Development",'13'!$G$124:$G$148)</f>
        <v>0</v>
      </c>
      <c r="H65" s="50">
        <f>SUMIF('13'!$N$159:$N$183,"OtherProf. Development",'13'!$G$159:$G$183)</f>
        <v>0</v>
      </c>
      <c r="I65" s="50">
        <f>SUMIF('13'!$N$194:$N$216,"OtherProf. Development",'13'!$G$194:$G$216)</f>
        <v>0</v>
      </c>
      <c r="J65" s="170">
        <f t="shared" si="0"/>
        <v>0</v>
      </c>
      <c r="K65" s="840"/>
    </row>
    <row r="66" spans="1:11" x14ac:dyDescent="0.2">
      <c r="A66" s="852"/>
      <c r="B66" s="856"/>
      <c r="C66" s="36" t="s">
        <v>125</v>
      </c>
      <c r="D66" s="49">
        <f>SUMIF('13'!$N$14:$N$43,"OtherMentoring/Induction",'13'!$G$14:$G$43)</f>
        <v>0</v>
      </c>
      <c r="E66" s="50">
        <f>SUMIF('13'!$N$54:$N$78,"OtherMentoring/Induction",'13'!$G$54:$G$78)</f>
        <v>0</v>
      </c>
      <c r="F66" s="50">
        <f>SUMIF('13'!$N$89:$N$113,"OtherMentoring/Induction",'13'!$G$89:$G$113)</f>
        <v>0</v>
      </c>
      <c r="G66" s="50">
        <f>SUMIF('13'!$N$124:$N$148,"OtherMentoring/Induction",'13'!$G$124:$G$148)</f>
        <v>0</v>
      </c>
      <c r="H66" s="50">
        <f>SUMIF('13'!$N$159:$N$183,"OtherMentoring/Induction",'13'!$G$159:$G$183)</f>
        <v>0</v>
      </c>
      <c r="I66" s="50">
        <f>SUMIF('13'!$N$194:$N$216,"OtherMentoring/Induction",'13'!$G$194:$G$216)</f>
        <v>0</v>
      </c>
      <c r="J66" s="170">
        <f t="shared" si="0"/>
        <v>0</v>
      </c>
      <c r="K66" s="840"/>
    </row>
    <row r="67" spans="1:11" x14ac:dyDescent="0.2">
      <c r="A67" s="852"/>
      <c r="B67" s="856"/>
      <c r="C67" s="36" t="s">
        <v>122</v>
      </c>
      <c r="D67" s="49">
        <f>SUMIF('13'!$N$14:$N$43,"OtherTeacher Testing",'13'!$G$14:$G$43)</f>
        <v>0</v>
      </c>
      <c r="E67" s="50">
        <f>SUMIF('13'!$N$54:$N$78,"OtherTeacher Testing",'13'!$G$54:$G$78)</f>
        <v>0</v>
      </c>
      <c r="F67" s="50">
        <f>SUMIF('13'!$N$89:$N$113,"OtherTeacher Testing",'13'!$G$89:$G$113)</f>
        <v>0</v>
      </c>
      <c r="G67" s="50">
        <f>SUMIF('13'!$N$124:$N$148,"OtherTeacher Testing",'13'!$G$124:$G$148)</f>
        <v>0</v>
      </c>
      <c r="H67" s="50">
        <f>SUMIF('13'!$N$159:$N$183,"OtherTeacher Testing",'13'!$G$159:$G$183)</f>
        <v>0</v>
      </c>
      <c r="I67" s="50">
        <f>SUMIF('13'!$N$194:$N$216,"OtherTeacher Testing",'13'!$G$194:$G$216)</f>
        <v>0</v>
      </c>
      <c r="J67" s="170">
        <f t="shared" si="0"/>
        <v>0</v>
      </c>
      <c r="K67" s="840"/>
    </row>
    <row r="68" spans="1:11" x14ac:dyDescent="0.2">
      <c r="A68" s="852"/>
      <c r="B68" s="856"/>
      <c r="C68" s="36" t="s">
        <v>124</v>
      </c>
      <c r="D68" s="49">
        <f>SUMIF('13'!$N$14:$N$43,"OtherPrincipal Development",'13'!$G$14:$G$43)</f>
        <v>0</v>
      </c>
      <c r="E68" s="50">
        <f>SUMIF('13'!$N$54:$N$78,"OtherPrincipal Development",'13'!$G$54:$G$78)</f>
        <v>0</v>
      </c>
      <c r="F68" s="50">
        <f>SUMIF('13'!$N$89:$N$113,"OtherPrincipal Development",'13'!$G$89:$G$113)</f>
        <v>0</v>
      </c>
      <c r="G68" s="50">
        <f>SUMIF('13'!$N$124:$N$148,"OtherPrincipal Development",'13'!$G$124:$G$148)</f>
        <v>0</v>
      </c>
      <c r="H68" s="50">
        <f>SUMIF('13'!$N$159:$N$183,"OtherPrincipal Development",'13'!$G$159:$G$183)</f>
        <v>0</v>
      </c>
      <c r="I68" s="50">
        <f>SUMIF('13'!$N$194:$N$216,"OtherPrincipal Development",'13'!$G$194:$G$216)</f>
        <v>0</v>
      </c>
      <c r="J68" s="170">
        <f t="shared" si="0"/>
        <v>0</v>
      </c>
      <c r="K68" s="840"/>
    </row>
    <row r="69" spans="1:11" x14ac:dyDescent="0.2">
      <c r="A69" s="852"/>
      <c r="B69" s="856"/>
      <c r="C69" s="36" t="s">
        <v>123</v>
      </c>
      <c r="D69" s="49">
        <f>SUMIF('13'!$N$14:$N$43,"OtherMerit Pay",'13'!$G$14:$G$43)</f>
        <v>0</v>
      </c>
      <c r="E69" s="50">
        <f>SUMIF('13'!$N$54:$N$78,"OtherMerit Pay",'13'!$G$54:$G$78)</f>
        <v>0</v>
      </c>
      <c r="F69" s="50">
        <f>SUMIF('13'!$N$89:$N$113,"OtherMerit Pay",'13'!$G$89:$G$113)</f>
        <v>0</v>
      </c>
      <c r="G69" s="50">
        <f>SUMIF('13'!$N$124:$N$148,"OtherMerit Pay",'13'!$G$124:$G$148)</f>
        <v>0</v>
      </c>
      <c r="H69" s="50">
        <f>SUMIF('13'!$N$159:$N$183,"OtherMerit Pay",'13'!$G$159:$G$183)</f>
        <v>0</v>
      </c>
      <c r="I69" s="50">
        <f>SUMIF('13'!$N$194:$N$216,"OtherMerit Pay",'13'!$G$194:$G$216)</f>
        <v>0</v>
      </c>
      <c r="J69" s="170">
        <f t="shared" si="0"/>
        <v>0</v>
      </c>
      <c r="K69" s="840"/>
    </row>
    <row r="70" spans="1:11" x14ac:dyDescent="0.2">
      <c r="A70" s="852"/>
      <c r="B70" s="856"/>
      <c r="C70" s="36" t="s">
        <v>120</v>
      </c>
      <c r="D70" s="49">
        <f>SUMIF('13'!$N$14:$N$43,"OtherClass-size Reduction",'13'!$G$14:$G$43)</f>
        <v>0</v>
      </c>
      <c r="E70" s="50">
        <f>SUMIF('13'!$N$54:$N$78,"OtherClass-size Reduction",'13'!$G$54:$G$78)</f>
        <v>0</v>
      </c>
      <c r="F70" s="50">
        <f>SUMIF('13'!$N$89:$N$113,"OtherClass-size Reduction",'13'!$G$89:$G$113)</f>
        <v>0</v>
      </c>
      <c r="G70" s="50">
        <f>SUMIF('13'!$N$124:$N$148,"OtherClass-size Reduction",'13'!$G$124:$G$148)</f>
        <v>0</v>
      </c>
      <c r="H70" s="50">
        <f>SUMIF('13'!$N$159:$N$183,"OtherClass-size Reduction",'13'!$G$159:$G$183)</f>
        <v>0</v>
      </c>
      <c r="I70" s="50">
        <f>SUMIF('13'!$N$194:$N$216,"OtherClass-size Reduction",'13'!$G$194:$G$216)</f>
        <v>0</v>
      </c>
      <c r="J70" s="170">
        <f t="shared" si="0"/>
        <v>0</v>
      </c>
      <c r="K70" s="840"/>
    </row>
    <row r="71" spans="1:11" x14ac:dyDescent="0.2">
      <c r="A71" s="852"/>
      <c r="B71" s="856"/>
      <c r="C71" s="36" t="s">
        <v>121</v>
      </c>
      <c r="D71" s="49">
        <f>SUMIF('13'!$N$14:$N$43,"OtherTeacher Advancement",'13'!$G$14:$G$43)</f>
        <v>0</v>
      </c>
      <c r="E71" s="50">
        <f>SUMIF('13'!$N$54:$N$78,"OtherTeacher Advancement",'13'!$G$54:$G$78)</f>
        <v>0</v>
      </c>
      <c r="F71" s="50">
        <f>SUMIF('13'!$N$89:$N$113,"OtherTeacher Advancement",'13'!$G$89:$G$113)</f>
        <v>0</v>
      </c>
      <c r="G71" s="50">
        <f>SUMIF('13'!$N$124:$N$148,"OtherTeacher Advancement",'13'!$G$124:$G$148)</f>
        <v>0</v>
      </c>
      <c r="H71" s="50">
        <f>SUMIF('13'!$N$159:$N$183,"OtherTeacher Advancement",'13'!$G$159:$G$183)</f>
        <v>0</v>
      </c>
      <c r="I71" s="50">
        <f>SUMIF('13'!$N$194:$N$216,"OtherTeacher Advancement",'13'!$G$194:$G$216)</f>
        <v>0</v>
      </c>
      <c r="J71" s="170">
        <f t="shared" si="0"/>
        <v>0</v>
      </c>
      <c r="K71" s="840"/>
    </row>
    <row r="72" spans="1:11" x14ac:dyDescent="0.2">
      <c r="A72" s="852"/>
      <c r="B72" s="856"/>
      <c r="C72" s="36" t="s">
        <v>108</v>
      </c>
      <c r="D72" s="49">
        <f>SUMIF('13'!$N$14:$N$43,"OtherEquitable Services",'13'!$G$14:$G$43)</f>
        <v>0</v>
      </c>
      <c r="E72" s="50">
        <f>SUMIF('13'!$N$54:$N$78,"OtherEquitable Services",'13'!$G$54:$G$78)</f>
        <v>0</v>
      </c>
      <c r="F72" s="50">
        <f>SUMIF('13'!$N$89:$N$113,"OtherEquitable Services",'13'!$G$89:$G$113)</f>
        <v>0</v>
      </c>
      <c r="G72" s="50">
        <f>SUMIF('13'!$N$124:$N$148,"OtherEquitable Services",'13'!$G$124:$G$148)</f>
        <v>0</v>
      </c>
      <c r="H72" s="50">
        <f>SUMIF('13'!$N$159:$N$183,"OtherEquitable Services",'13'!$G$159:$G$183)</f>
        <v>0</v>
      </c>
      <c r="I72" s="50">
        <f>SUMIF('13'!$N$194:$N$216,"OtherEquitable Services",'13'!$G$194:$G$216)</f>
        <v>0</v>
      </c>
      <c r="J72" s="170">
        <f t="shared" si="0"/>
        <v>0</v>
      </c>
      <c r="K72" s="840"/>
    </row>
    <row r="73" spans="1:11" x14ac:dyDescent="0.2">
      <c r="A73" s="852"/>
      <c r="B73" s="856"/>
      <c r="C73" s="36" t="s">
        <v>52</v>
      </c>
      <c r="D73" s="49">
        <f>SUMIF('13'!$N$14:$N$43,"OtherOther",'13'!$G$14:$G$43)</f>
        <v>0</v>
      </c>
      <c r="E73" s="50">
        <f>SUMIF('13'!$N$54:$N$78,"OtherOther",'13'!$G$54:$G$78)</f>
        <v>0</v>
      </c>
      <c r="F73" s="50">
        <f>SUMIF('13'!$N$89:$N$113,"OtherOther",'13'!$G$89:$G$113)</f>
        <v>0</v>
      </c>
      <c r="G73" s="50">
        <f>SUMIF('13'!$N$124:$N$148,"OtherOther",'13'!$G$124:$G$148)</f>
        <v>0</v>
      </c>
      <c r="H73" s="50">
        <f>SUMIF('13'!$N$159:$N$183,"OtherOther",'13'!$G$159:$G$183)</f>
        <v>0</v>
      </c>
      <c r="I73" s="50">
        <f>SUMIF('13'!$N$194:$N$216,"OtherOther",'13'!$G$194:$G$216)</f>
        <v>0</v>
      </c>
      <c r="J73" s="170">
        <f t="shared" si="0"/>
        <v>0</v>
      </c>
      <c r="K73" s="840"/>
    </row>
    <row r="74" spans="1:11" ht="13.5" thickBot="1" x14ac:dyDescent="0.25">
      <c r="A74" s="852"/>
      <c r="B74" s="945"/>
      <c r="C74" s="37" t="s">
        <v>112</v>
      </c>
      <c r="D74" s="38">
        <f t="shared" ref="D74:I74" si="6">SUM(D64:D73)</f>
        <v>0</v>
      </c>
      <c r="E74" s="38">
        <f t="shared" si="6"/>
        <v>0</v>
      </c>
      <c r="F74" s="38">
        <f t="shared" si="6"/>
        <v>0</v>
      </c>
      <c r="G74" s="38">
        <f t="shared" si="6"/>
        <v>0</v>
      </c>
      <c r="H74" s="38">
        <f t="shared" si="6"/>
        <v>0</v>
      </c>
      <c r="I74" s="38">
        <f t="shared" si="6"/>
        <v>0</v>
      </c>
      <c r="J74" s="41">
        <f t="shared" si="0"/>
        <v>0</v>
      </c>
      <c r="K74" s="840"/>
    </row>
    <row r="75" spans="1:11" ht="12.75" customHeight="1" x14ac:dyDescent="0.2">
      <c r="A75" s="852"/>
      <c r="B75" s="858" t="s">
        <v>113</v>
      </c>
      <c r="C75" s="43" t="s">
        <v>119</v>
      </c>
      <c r="D75" s="51">
        <f t="shared" ref="D75:I75" si="7">SUM(D9,D20,D31,D42,D53,D64)</f>
        <v>0</v>
      </c>
      <c r="E75" s="52">
        <f t="shared" si="7"/>
        <v>0</v>
      </c>
      <c r="F75" s="52">
        <f t="shared" si="7"/>
        <v>0</v>
      </c>
      <c r="G75" s="52">
        <f t="shared" si="7"/>
        <v>0</v>
      </c>
      <c r="H75" s="52">
        <f t="shared" si="7"/>
        <v>0</v>
      </c>
      <c r="I75" s="52">
        <f t="shared" si="7"/>
        <v>0</v>
      </c>
      <c r="J75" s="44">
        <f t="shared" ref="J75:J85" si="8">SUM(D75:I75)</f>
        <v>0</v>
      </c>
      <c r="K75" s="840"/>
    </row>
    <row r="76" spans="1:11" x14ac:dyDescent="0.2">
      <c r="A76" s="852"/>
      <c r="B76" s="860"/>
      <c r="C76" s="45" t="s">
        <v>109</v>
      </c>
      <c r="D76" s="53">
        <f t="shared" ref="D76:I84" si="9">SUM(D10,D21,D32,D43,D54,D65)</f>
        <v>4433177.08</v>
      </c>
      <c r="E76" s="54">
        <f t="shared" si="9"/>
        <v>0</v>
      </c>
      <c r="F76" s="54">
        <f t="shared" si="9"/>
        <v>0</v>
      </c>
      <c r="G76" s="54">
        <f t="shared" si="9"/>
        <v>0</v>
      </c>
      <c r="H76" s="54">
        <f t="shared" si="9"/>
        <v>0</v>
      </c>
      <c r="I76" s="54">
        <f t="shared" si="9"/>
        <v>261525</v>
      </c>
      <c r="J76" s="46">
        <f t="shared" si="8"/>
        <v>4694702.0800000001</v>
      </c>
      <c r="K76" s="840"/>
    </row>
    <row r="77" spans="1:11" x14ac:dyDescent="0.2">
      <c r="A77" s="852"/>
      <c r="B77" s="860"/>
      <c r="C77" s="45" t="s">
        <v>125</v>
      </c>
      <c r="D77" s="53">
        <f t="shared" si="9"/>
        <v>0</v>
      </c>
      <c r="E77" s="54">
        <f t="shared" si="9"/>
        <v>0</v>
      </c>
      <c r="F77" s="54">
        <f t="shared" si="9"/>
        <v>0</v>
      </c>
      <c r="G77" s="54">
        <f t="shared" si="9"/>
        <v>0</v>
      </c>
      <c r="H77" s="54">
        <f t="shared" si="9"/>
        <v>0</v>
      </c>
      <c r="I77" s="54">
        <f t="shared" si="9"/>
        <v>0</v>
      </c>
      <c r="J77" s="46">
        <f t="shared" si="8"/>
        <v>0</v>
      </c>
      <c r="K77" s="840"/>
    </row>
    <row r="78" spans="1:11" x14ac:dyDescent="0.2">
      <c r="A78" s="852"/>
      <c r="B78" s="860"/>
      <c r="C78" s="45" t="s">
        <v>122</v>
      </c>
      <c r="D78" s="53">
        <f t="shared" si="9"/>
        <v>0</v>
      </c>
      <c r="E78" s="54">
        <f t="shared" si="9"/>
        <v>0</v>
      </c>
      <c r="F78" s="54">
        <f t="shared" si="9"/>
        <v>0</v>
      </c>
      <c r="G78" s="54">
        <f t="shared" si="9"/>
        <v>0</v>
      </c>
      <c r="H78" s="54">
        <f t="shared" si="9"/>
        <v>0</v>
      </c>
      <c r="I78" s="54">
        <f t="shared" si="9"/>
        <v>0</v>
      </c>
      <c r="J78" s="46">
        <f t="shared" si="8"/>
        <v>0</v>
      </c>
      <c r="K78" s="840"/>
    </row>
    <row r="79" spans="1:11" x14ac:dyDescent="0.2">
      <c r="A79" s="852"/>
      <c r="B79" s="860"/>
      <c r="C79" s="45" t="s">
        <v>124</v>
      </c>
      <c r="D79" s="53">
        <f t="shared" si="9"/>
        <v>0</v>
      </c>
      <c r="E79" s="54">
        <f t="shared" si="9"/>
        <v>0</v>
      </c>
      <c r="F79" s="54">
        <f t="shared" si="9"/>
        <v>0</v>
      </c>
      <c r="G79" s="54">
        <f t="shared" si="9"/>
        <v>0</v>
      </c>
      <c r="H79" s="54">
        <f t="shared" si="9"/>
        <v>0</v>
      </c>
      <c r="I79" s="54">
        <f t="shared" si="9"/>
        <v>0</v>
      </c>
      <c r="J79" s="46">
        <f t="shared" si="8"/>
        <v>0</v>
      </c>
      <c r="K79" s="840"/>
    </row>
    <row r="80" spans="1:11" x14ac:dyDescent="0.2">
      <c r="A80" s="852"/>
      <c r="B80" s="860"/>
      <c r="C80" s="45" t="s">
        <v>123</v>
      </c>
      <c r="D80" s="53">
        <f t="shared" si="9"/>
        <v>0</v>
      </c>
      <c r="E80" s="54">
        <f t="shared" si="9"/>
        <v>0</v>
      </c>
      <c r="F80" s="54">
        <f t="shared" si="9"/>
        <v>0</v>
      </c>
      <c r="G80" s="54">
        <f t="shared" si="9"/>
        <v>0</v>
      </c>
      <c r="H80" s="54">
        <f t="shared" si="9"/>
        <v>0</v>
      </c>
      <c r="I80" s="54">
        <f t="shared" si="9"/>
        <v>0</v>
      </c>
      <c r="J80" s="46">
        <f t="shared" si="8"/>
        <v>0</v>
      </c>
      <c r="K80" s="840"/>
    </row>
    <row r="81" spans="1:11" x14ac:dyDescent="0.2">
      <c r="A81" s="852"/>
      <c r="B81" s="860"/>
      <c r="C81" s="45" t="s">
        <v>120</v>
      </c>
      <c r="D81" s="53">
        <f t="shared" si="9"/>
        <v>0</v>
      </c>
      <c r="E81" s="54">
        <f t="shared" si="9"/>
        <v>0</v>
      </c>
      <c r="F81" s="54">
        <f t="shared" si="9"/>
        <v>0</v>
      </c>
      <c r="G81" s="54">
        <f t="shared" si="9"/>
        <v>0</v>
      </c>
      <c r="H81" s="54">
        <f t="shared" si="9"/>
        <v>0</v>
      </c>
      <c r="I81" s="54">
        <f t="shared" si="9"/>
        <v>0</v>
      </c>
      <c r="J81" s="46">
        <f t="shared" si="8"/>
        <v>0</v>
      </c>
      <c r="K81" s="840"/>
    </row>
    <row r="82" spans="1:11" x14ac:dyDescent="0.2">
      <c r="A82" s="852"/>
      <c r="B82" s="860"/>
      <c r="C82" s="45" t="s">
        <v>121</v>
      </c>
      <c r="D82" s="53">
        <f t="shared" si="9"/>
        <v>0</v>
      </c>
      <c r="E82" s="54">
        <f t="shared" si="9"/>
        <v>0</v>
      </c>
      <c r="F82" s="54">
        <f t="shared" si="9"/>
        <v>0</v>
      </c>
      <c r="G82" s="54">
        <f t="shared" si="9"/>
        <v>0</v>
      </c>
      <c r="H82" s="54">
        <f t="shared" si="9"/>
        <v>0</v>
      </c>
      <c r="I82" s="54">
        <f t="shared" si="9"/>
        <v>0</v>
      </c>
      <c r="J82" s="46">
        <f t="shared" si="8"/>
        <v>0</v>
      </c>
      <c r="K82" s="840"/>
    </row>
    <row r="83" spans="1:11" x14ac:dyDescent="0.2">
      <c r="A83" s="852"/>
      <c r="B83" s="860"/>
      <c r="C83" s="45" t="s">
        <v>108</v>
      </c>
      <c r="D83" s="53">
        <f t="shared" si="9"/>
        <v>0</v>
      </c>
      <c r="E83" s="54">
        <f t="shared" si="9"/>
        <v>0</v>
      </c>
      <c r="F83" s="54">
        <f t="shared" si="9"/>
        <v>0</v>
      </c>
      <c r="G83" s="54">
        <f t="shared" si="9"/>
        <v>346249.28</v>
      </c>
      <c r="H83" s="54">
        <f t="shared" si="9"/>
        <v>0</v>
      </c>
      <c r="I83" s="54">
        <f t="shared" si="9"/>
        <v>724190.52</v>
      </c>
      <c r="J83" s="46">
        <f t="shared" si="8"/>
        <v>1070439.8</v>
      </c>
      <c r="K83" s="840"/>
    </row>
    <row r="84" spans="1:11" x14ac:dyDescent="0.2">
      <c r="A84" s="852"/>
      <c r="B84" s="860"/>
      <c r="C84" s="45" t="s">
        <v>52</v>
      </c>
      <c r="D84" s="53">
        <f t="shared" si="9"/>
        <v>0</v>
      </c>
      <c r="E84" s="54">
        <f t="shared" si="9"/>
        <v>0</v>
      </c>
      <c r="F84" s="54">
        <f t="shared" si="9"/>
        <v>0</v>
      </c>
      <c r="G84" s="54">
        <f t="shared" si="9"/>
        <v>0</v>
      </c>
      <c r="H84" s="54">
        <f t="shared" si="9"/>
        <v>0</v>
      </c>
      <c r="I84" s="54">
        <f t="shared" si="9"/>
        <v>0</v>
      </c>
      <c r="J84" s="46">
        <f t="shared" si="8"/>
        <v>0</v>
      </c>
      <c r="K84" s="840"/>
    </row>
    <row r="85" spans="1:11" ht="13.5" thickBot="1" x14ac:dyDescent="0.25">
      <c r="A85" s="853"/>
      <c r="B85" s="946"/>
      <c r="C85" s="39" t="s">
        <v>114</v>
      </c>
      <c r="D85" s="40">
        <f t="shared" ref="D85:I85" si="10">SUM(D75:D84)</f>
        <v>4433177.08</v>
      </c>
      <c r="E85" s="40">
        <f t="shared" si="10"/>
        <v>0</v>
      </c>
      <c r="F85" s="40">
        <f t="shared" si="10"/>
        <v>0</v>
      </c>
      <c r="G85" s="40">
        <f t="shared" si="10"/>
        <v>346249.28</v>
      </c>
      <c r="H85" s="40">
        <f t="shared" si="10"/>
        <v>0</v>
      </c>
      <c r="I85" s="40">
        <f t="shared" si="10"/>
        <v>985715.52</v>
      </c>
      <c r="J85" s="42">
        <f t="shared" si="8"/>
        <v>5765141.8800000008</v>
      </c>
      <c r="K85" s="841"/>
    </row>
    <row r="86" spans="1:11" ht="13.5" thickTop="1" x14ac:dyDescent="0.2"/>
  </sheetData>
  <sheetProtection password="E686" sheet="1"/>
  <mergeCells count="18">
    <mergeCell ref="D1:J4"/>
    <mergeCell ref="K1:K85"/>
    <mergeCell ref="D5:D8"/>
    <mergeCell ref="E5:E8"/>
    <mergeCell ref="F5:F8"/>
    <mergeCell ref="G5:G8"/>
    <mergeCell ref="H5:H8"/>
    <mergeCell ref="I5:I8"/>
    <mergeCell ref="J5:J8"/>
    <mergeCell ref="B42:B52"/>
    <mergeCell ref="B53:B63"/>
    <mergeCell ref="B64:B74"/>
    <mergeCell ref="B75:B85"/>
    <mergeCell ref="A1:C8"/>
    <mergeCell ref="A9:A85"/>
    <mergeCell ref="B9:B19"/>
    <mergeCell ref="B20:B30"/>
    <mergeCell ref="B31:B41"/>
  </mergeCells>
  <conditionalFormatting sqref="K1">
    <cfRule type="cellIs" dxfId="47" priority="1" operator="equal">
      <formula>"The total amount for which you have budgeted does not match the unconsolidated portion of the LEA's Title II, Part A allocation."</formula>
    </cfRule>
  </conditionalFormatting>
  <pageMargins left="0.75" right="0.75" top="1" bottom="1" header="0.5" footer="0.5"/>
  <pageSetup scale="57" orientation="portrait" r:id="rId1"/>
  <headerFooter alignWithMargins="0">
    <oddHeader>&amp;LFFY 2012 Consolidated Application&amp;C&amp;A&amp;R&amp;P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D76"/>
  <sheetViews>
    <sheetView zoomScale="90" zoomScaleNormal="90" workbookViewId="0">
      <selection activeCell="A47" sqref="A47:J68"/>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979" t="s">
        <v>570</v>
      </c>
      <c r="B1" s="980"/>
      <c r="C1" s="980"/>
      <c r="D1" s="980"/>
      <c r="E1" s="980"/>
      <c r="F1" s="980"/>
      <c r="G1" s="980"/>
      <c r="H1" s="980"/>
      <c r="I1" s="980"/>
      <c r="J1" s="981"/>
    </row>
    <row r="2" spans="1:10" ht="12.75" customHeight="1" x14ac:dyDescent="0.2">
      <c r="A2" s="982"/>
      <c r="B2" s="983"/>
      <c r="C2" s="983"/>
      <c r="D2" s="983"/>
      <c r="E2" s="983"/>
      <c r="F2" s="983"/>
      <c r="G2" s="983"/>
      <c r="H2" s="983"/>
      <c r="I2" s="983"/>
      <c r="J2" s="984"/>
    </row>
    <row r="3" spans="1:10" ht="12.75" customHeight="1" x14ac:dyDescent="0.2">
      <c r="A3" s="673" t="s">
        <v>374</v>
      </c>
      <c r="B3" s="674"/>
      <c r="C3" s="674"/>
      <c r="D3" s="674"/>
      <c r="E3" s="674"/>
      <c r="F3" s="674"/>
      <c r="G3" s="674"/>
      <c r="H3" s="674"/>
      <c r="I3" s="674"/>
      <c r="J3" s="675"/>
    </row>
    <row r="4" spans="1:10" ht="12.75" customHeight="1" x14ac:dyDescent="0.2">
      <c r="A4" s="705"/>
      <c r="B4" s="706"/>
      <c r="C4" s="706"/>
      <c r="D4" s="706"/>
      <c r="E4" s="706"/>
      <c r="F4" s="706"/>
      <c r="G4" s="706"/>
      <c r="H4" s="706"/>
      <c r="I4" s="706"/>
      <c r="J4" s="707"/>
    </row>
    <row r="5" spans="1:10" ht="12.75" customHeight="1" x14ac:dyDescent="0.2">
      <c r="A5" s="676"/>
      <c r="B5" s="677"/>
      <c r="C5" s="677"/>
      <c r="D5" s="677"/>
      <c r="E5" s="677"/>
      <c r="F5" s="677"/>
      <c r="G5" s="677"/>
      <c r="H5" s="677"/>
      <c r="I5" s="677"/>
      <c r="J5" s="678"/>
    </row>
    <row r="6" spans="1:10" ht="12.75" customHeight="1" x14ac:dyDescent="0.2">
      <c r="A6" s="673" t="s">
        <v>275</v>
      </c>
      <c r="B6" s="674"/>
      <c r="C6" s="674"/>
      <c r="D6" s="674"/>
      <c r="E6" s="674"/>
      <c r="F6" s="674"/>
      <c r="G6" s="674"/>
      <c r="H6" s="674"/>
      <c r="I6" s="674"/>
      <c r="J6" s="675"/>
    </row>
    <row r="7" spans="1:10" ht="12.75" customHeight="1" x14ac:dyDescent="0.2">
      <c r="A7" s="676"/>
      <c r="B7" s="677"/>
      <c r="C7" s="677"/>
      <c r="D7" s="677"/>
      <c r="E7" s="677"/>
      <c r="F7" s="677"/>
      <c r="G7" s="677"/>
      <c r="H7" s="677"/>
      <c r="I7" s="677"/>
      <c r="J7" s="678"/>
    </row>
    <row r="8" spans="1:10" s="61" customFormat="1" x14ac:dyDescent="0.2">
      <c r="A8" s="55"/>
      <c r="B8" s="56"/>
      <c r="C8" s="57"/>
      <c r="D8" s="58"/>
      <c r="E8" s="58"/>
      <c r="F8" s="58"/>
      <c r="G8" s="58"/>
      <c r="H8" s="59"/>
      <c r="I8" s="57"/>
      <c r="J8" s="60"/>
    </row>
    <row r="9" spans="1:10" ht="13.5" thickBot="1" x14ac:dyDescent="0.25">
      <c r="A9" s="85"/>
      <c r="B9" s="69"/>
      <c r="C9" s="69"/>
      <c r="D9" s="69"/>
      <c r="E9" s="69"/>
      <c r="F9" s="69"/>
      <c r="G9" s="69"/>
      <c r="H9" s="69"/>
      <c r="I9" s="69"/>
      <c r="J9" s="83"/>
    </row>
    <row r="10" spans="1:10" ht="13.5" customHeight="1" thickBot="1" x14ac:dyDescent="0.25">
      <c r="A10" s="87"/>
      <c r="B10" s="71" t="s">
        <v>23</v>
      </c>
      <c r="C10" s="72"/>
      <c r="D10" s="698" t="s">
        <v>363</v>
      </c>
      <c r="E10" s="698"/>
      <c r="F10" s="698"/>
      <c r="G10" s="698"/>
      <c r="H10" s="698"/>
      <c r="I10" s="698"/>
      <c r="J10" s="88"/>
    </row>
    <row r="11" spans="1:10" x14ac:dyDescent="0.2">
      <c r="A11" s="87"/>
      <c r="B11" s="73"/>
      <c r="C11" s="72"/>
      <c r="D11" s="698"/>
      <c r="E11" s="698"/>
      <c r="F11" s="698"/>
      <c r="G11" s="698"/>
      <c r="H11" s="698"/>
      <c r="I11" s="698"/>
      <c r="J11" s="84"/>
    </row>
    <row r="12" spans="1:10" ht="13.5" thickBot="1" x14ac:dyDescent="0.25">
      <c r="A12" s="87"/>
      <c r="B12" s="73"/>
      <c r="C12" s="72"/>
      <c r="D12" s="81"/>
      <c r="E12" s="81"/>
      <c r="F12" s="81"/>
      <c r="G12" s="81"/>
      <c r="H12" s="81"/>
      <c r="I12" s="81"/>
      <c r="J12" s="84"/>
    </row>
    <row r="13" spans="1:10" ht="12.75" customHeight="1" thickBot="1" x14ac:dyDescent="0.25">
      <c r="A13" s="87"/>
      <c r="B13" s="71" t="s">
        <v>23</v>
      </c>
      <c r="C13" s="72"/>
      <c r="D13" s="698" t="s">
        <v>276</v>
      </c>
      <c r="E13" s="698"/>
      <c r="F13" s="698"/>
      <c r="G13" s="698"/>
      <c r="H13" s="698"/>
      <c r="I13" s="698"/>
      <c r="J13" s="88"/>
    </row>
    <row r="14" spans="1:10" x14ac:dyDescent="0.2">
      <c r="A14" s="87"/>
      <c r="B14" s="74"/>
      <c r="C14" s="72"/>
      <c r="D14" s="698"/>
      <c r="E14" s="698"/>
      <c r="F14" s="698"/>
      <c r="G14" s="698"/>
      <c r="H14" s="698"/>
      <c r="I14" s="698"/>
      <c r="J14" s="88"/>
    </row>
    <row r="15" spans="1:10" x14ac:dyDescent="0.2">
      <c r="A15" s="87"/>
      <c r="B15" s="74"/>
      <c r="C15" s="72"/>
      <c r="D15" s="81"/>
      <c r="E15" s="81"/>
      <c r="F15" s="81"/>
      <c r="G15" s="81"/>
      <c r="H15" s="81"/>
      <c r="I15" s="81"/>
      <c r="J15" s="88"/>
    </row>
    <row r="16" spans="1:10" s="61" customFormat="1" x14ac:dyDescent="0.2">
      <c r="A16" s="55"/>
      <c r="B16" s="56"/>
      <c r="C16" s="57"/>
      <c r="D16" s="58"/>
      <c r="E16" s="58"/>
      <c r="F16" s="58"/>
      <c r="G16" s="58"/>
      <c r="H16" s="59"/>
      <c r="I16" s="57"/>
      <c r="J16" s="60"/>
    </row>
    <row r="17" spans="1:10" s="61" customFormat="1" ht="25.5" customHeight="1" x14ac:dyDescent="0.2">
      <c r="A17" s="730" t="s">
        <v>277</v>
      </c>
      <c r="B17" s="731"/>
      <c r="C17" s="731"/>
      <c r="D17" s="731"/>
      <c r="E17" s="731"/>
      <c r="F17" s="731"/>
      <c r="G17" s="731"/>
      <c r="H17" s="731"/>
      <c r="I17" s="731"/>
      <c r="J17" s="732"/>
    </row>
    <row r="18" spans="1:10" ht="12.75" customHeight="1" x14ac:dyDescent="0.2">
      <c r="A18" s="721" t="s">
        <v>279</v>
      </c>
      <c r="B18" s="722"/>
      <c r="C18" s="722"/>
      <c r="D18" s="722"/>
      <c r="E18" s="722"/>
      <c r="F18" s="722"/>
      <c r="G18" s="722"/>
      <c r="H18" s="722"/>
      <c r="I18" s="722"/>
      <c r="J18" s="723"/>
    </row>
    <row r="19" spans="1:10" ht="12.75" customHeight="1" x14ac:dyDescent="0.2">
      <c r="A19" s="724"/>
      <c r="B19" s="725"/>
      <c r="C19" s="725"/>
      <c r="D19" s="725"/>
      <c r="E19" s="725"/>
      <c r="F19" s="725"/>
      <c r="G19" s="725"/>
      <c r="H19" s="725"/>
      <c r="I19" s="725"/>
      <c r="J19" s="726"/>
    </row>
    <row r="20" spans="1:10" ht="12.75" customHeight="1" x14ac:dyDescent="0.2">
      <c r="A20" s="724"/>
      <c r="B20" s="725"/>
      <c r="C20" s="725"/>
      <c r="D20" s="725"/>
      <c r="E20" s="725"/>
      <c r="F20" s="725"/>
      <c r="G20" s="725"/>
      <c r="H20" s="725"/>
      <c r="I20" s="725"/>
      <c r="J20" s="726"/>
    </row>
    <row r="21" spans="1:10" ht="15" customHeight="1" x14ac:dyDescent="0.2">
      <c r="A21" s="727"/>
      <c r="B21" s="728"/>
      <c r="C21" s="728"/>
      <c r="D21" s="728"/>
      <c r="E21" s="728"/>
      <c r="F21" s="728"/>
      <c r="G21" s="728"/>
      <c r="H21" s="728"/>
      <c r="I21" s="728"/>
      <c r="J21" s="729"/>
    </row>
    <row r="22" spans="1:10" ht="12.75" customHeight="1" x14ac:dyDescent="0.2">
      <c r="A22" s="742" t="s">
        <v>842</v>
      </c>
      <c r="B22" s="743"/>
      <c r="C22" s="743"/>
      <c r="D22" s="743"/>
      <c r="E22" s="743"/>
      <c r="F22" s="743"/>
      <c r="G22" s="743"/>
      <c r="H22" s="743"/>
      <c r="I22" s="743"/>
      <c r="J22" s="744"/>
    </row>
    <row r="23" spans="1:10" ht="12.75" customHeight="1" x14ac:dyDescent="0.2">
      <c r="A23" s="742"/>
      <c r="B23" s="743"/>
      <c r="C23" s="743"/>
      <c r="D23" s="743"/>
      <c r="E23" s="743"/>
      <c r="F23" s="743"/>
      <c r="G23" s="743"/>
      <c r="H23" s="743"/>
      <c r="I23" s="743"/>
      <c r="J23" s="744"/>
    </row>
    <row r="24" spans="1:10" ht="12.75" customHeight="1" x14ac:dyDescent="0.2">
      <c r="A24" s="742"/>
      <c r="B24" s="743"/>
      <c r="C24" s="743"/>
      <c r="D24" s="743"/>
      <c r="E24" s="743"/>
      <c r="F24" s="743"/>
      <c r="G24" s="743"/>
      <c r="H24" s="743"/>
      <c r="I24" s="743"/>
      <c r="J24" s="744"/>
    </row>
    <row r="25" spans="1:10" ht="12.75" customHeight="1" x14ac:dyDescent="0.2">
      <c r="A25" s="742"/>
      <c r="B25" s="743"/>
      <c r="C25" s="743"/>
      <c r="D25" s="743"/>
      <c r="E25" s="743"/>
      <c r="F25" s="743"/>
      <c r="G25" s="743"/>
      <c r="H25" s="743"/>
      <c r="I25" s="743"/>
      <c r="J25" s="744"/>
    </row>
    <row r="26" spans="1:10" ht="12.75" customHeight="1" x14ac:dyDescent="0.2">
      <c r="A26" s="742"/>
      <c r="B26" s="743"/>
      <c r="C26" s="743"/>
      <c r="D26" s="743"/>
      <c r="E26" s="743"/>
      <c r="F26" s="743"/>
      <c r="G26" s="743"/>
      <c r="H26" s="743"/>
      <c r="I26" s="743"/>
      <c r="J26" s="744"/>
    </row>
    <row r="27" spans="1:10" ht="12.75" customHeight="1" x14ac:dyDescent="0.2">
      <c r="A27" s="742"/>
      <c r="B27" s="743"/>
      <c r="C27" s="743"/>
      <c r="D27" s="743"/>
      <c r="E27" s="743"/>
      <c r="F27" s="743"/>
      <c r="G27" s="743"/>
      <c r="H27" s="743"/>
      <c r="I27" s="743"/>
      <c r="J27" s="744"/>
    </row>
    <row r="28" spans="1:10" ht="12.75" customHeight="1" x14ac:dyDescent="0.2">
      <c r="A28" s="742"/>
      <c r="B28" s="743"/>
      <c r="C28" s="743"/>
      <c r="D28" s="743"/>
      <c r="E28" s="743"/>
      <c r="F28" s="743"/>
      <c r="G28" s="743"/>
      <c r="H28" s="743"/>
      <c r="I28" s="743"/>
      <c r="J28" s="744"/>
    </row>
    <row r="29" spans="1:10" ht="12.75" customHeight="1" x14ac:dyDescent="0.2">
      <c r="A29" s="742"/>
      <c r="B29" s="743"/>
      <c r="C29" s="743"/>
      <c r="D29" s="743"/>
      <c r="E29" s="743"/>
      <c r="F29" s="743"/>
      <c r="G29" s="743"/>
      <c r="H29" s="743"/>
      <c r="I29" s="743"/>
      <c r="J29" s="744"/>
    </row>
    <row r="30" spans="1:10" ht="12.75" customHeight="1" x14ac:dyDescent="0.2">
      <c r="A30" s="742"/>
      <c r="B30" s="743"/>
      <c r="C30" s="743"/>
      <c r="D30" s="743"/>
      <c r="E30" s="743"/>
      <c r="F30" s="743"/>
      <c r="G30" s="743"/>
      <c r="H30" s="743"/>
      <c r="I30" s="743"/>
      <c r="J30" s="744"/>
    </row>
    <row r="31" spans="1:10" ht="12.75" customHeight="1" x14ac:dyDescent="0.2">
      <c r="A31" s="742"/>
      <c r="B31" s="743"/>
      <c r="C31" s="743"/>
      <c r="D31" s="743"/>
      <c r="E31" s="743"/>
      <c r="F31" s="743"/>
      <c r="G31" s="743"/>
      <c r="H31" s="743"/>
      <c r="I31" s="743"/>
      <c r="J31" s="744"/>
    </row>
    <row r="32" spans="1:10" ht="12.75" customHeight="1" x14ac:dyDescent="0.2">
      <c r="A32" s="742"/>
      <c r="B32" s="743"/>
      <c r="C32" s="743"/>
      <c r="D32" s="743"/>
      <c r="E32" s="743"/>
      <c r="F32" s="743"/>
      <c r="G32" s="743"/>
      <c r="H32" s="743"/>
      <c r="I32" s="743"/>
      <c r="J32" s="744"/>
    </row>
    <row r="33" spans="1:10" ht="12.75" customHeight="1" x14ac:dyDescent="0.2">
      <c r="A33" s="742"/>
      <c r="B33" s="743"/>
      <c r="C33" s="743"/>
      <c r="D33" s="743"/>
      <c r="E33" s="743"/>
      <c r="F33" s="743"/>
      <c r="G33" s="743"/>
      <c r="H33" s="743"/>
      <c r="I33" s="743"/>
      <c r="J33" s="744"/>
    </row>
    <row r="34" spans="1:10" ht="12.75" customHeight="1" x14ac:dyDescent="0.2">
      <c r="A34" s="742"/>
      <c r="B34" s="743"/>
      <c r="C34" s="743"/>
      <c r="D34" s="743"/>
      <c r="E34" s="743"/>
      <c r="F34" s="743"/>
      <c r="G34" s="743"/>
      <c r="H34" s="743"/>
      <c r="I34" s="743"/>
      <c r="J34" s="744"/>
    </row>
    <row r="35" spans="1:10" ht="12.75" customHeight="1" x14ac:dyDescent="0.2">
      <c r="A35" s="742"/>
      <c r="B35" s="743"/>
      <c r="C35" s="743"/>
      <c r="D35" s="743"/>
      <c r="E35" s="743"/>
      <c r="F35" s="743"/>
      <c r="G35" s="743"/>
      <c r="H35" s="743"/>
      <c r="I35" s="743"/>
      <c r="J35" s="744"/>
    </row>
    <row r="36" spans="1:10" ht="12.75" customHeight="1" x14ac:dyDescent="0.2">
      <c r="A36" s="742"/>
      <c r="B36" s="743"/>
      <c r="C36" s="743"/>
      <c r="D36" s="743"/>
      <c r="E36" s="743"/>
      <c r="F36" s="743"/>
      <c r="G36" s="743"/>
      <c r="H36" s="743"/>
      <c r="I36" s="743"/>
      <c r="J36" s="744"/>
    </row>
    <row r="37" spans="1:10" ht="12.75" customHeight="1" x14ac:dyDescent="0.2">
      <c r="A37" s="742"/>
      <c r="B37" s="743"/>
      <c r="C37" s="743"/>
      <c r="D37" s="743"/>
      <c r="E37" s="743"/>
      <c r="F37" s="743"/>
      <c r="G37" s="743"/>
      <c r="H37" s="743"/>
      <c r="I37" s="743"/>
      <c r="J37" s="744"/>
    </row>
    <row r="38" spans="1:10" ht="12.75" customHeight="1" x14ac:dyDescent="0.2">
      <c r="A38" s="742"/>
      <c r="B38" s="743"/>
      <c r="C38" s="743"/>
      <c r="D38" s="743"/>
      <c r="E38" s="743"/>
      <c r="F38" s="743"/>
      <c r="G38" s="743"/>
      <c r="H38" s="743"/>
      <c r="I38" s="743"/>
      <c r="J38" s="744"/>
    </row>
    <row r="39" spans="1:10" ht="12.75" customHeight="1" x14ac:dyDescent="0.2">
      <c r="A39" s="742"/>
      <c r="B39" s="743"/>
      <c r="C39" s="743"/>
      <c r="D39" s="743"/>
      <c r="E39" s="743"/>
      <c r="F39" s="743"/>
      <c r="G39" s="743"/>
      <c r="H39" s="743"/>
      <c r="I39" s="743"/>
      <c r="J39" s="744"/>
    </row>
    <row r="40" spans="1:10" ht="12.75" customHeight="1" x14ac:dyDescent="0.2">
      <c r="A40" s="742"/>
      <c r="B40" s="743"/>
      <c r="C40" s="743"/>
      <c r="D40" s="743"/>
      <c r="E40" s="743"/>
      <c r="F40" s="743"/>
      <c r="G40" s="743"/>
      <c r="H40" s="743"/>
      <c r="I40" s="743"/>
      <c r="J40" s="744"/>
    </row>
    <row r="41" spans="1:10" ht="12.75" customHeight="1" x14ac:dyDescent="0.2">
      <c r="A41" s="742"/>
      <c r="B41" s="743"/>
      <c r="C41" s="743"/>
      <c r="D41" s="743"/>
      <c r="E41" s="743"/>
      <c r="F41" s="743"/>
      <c r="G41" s="743"/>
      <c r="H41" s="743"/>
      <c r="I41" s="743"/>
      <c r="J41" s="744"/>
    </row>
    <row r="42" spans="1:10" s="61" customFormat="1" ht="25.5" customHeight="1" x14ac:dyDescent="0.2">
      <c r="A42" s="730" t="s">
        <v>278</v>
      </c>
      <c r="B42" s="731"/>
      <c r="C42" s="731"/>
      <c r="D42" s="731"/>
      <c r="E42" s="731"/>
      <c r="F42" s="731"/>
      <c r="G42" s="731"/>
      <c r="H42" s="731"/>
      <c r="I42" s="731"/>
      <c r="J42" s="732"/>
    </row>
    <row r="43" spans="1:10" ht="12.75" customHeight="1" x14ac:dyDescent="0.2">
      <c r="A43" s="721" t="s">
        <v>280</v>
      </c>
      <c r="B43" s="722"/>
      <c r="C43" s="722"/>
      <c r="D43" s="722"/>
      <c r="E43" s="722"/>
      <c r="F43" s="722"/>
      <c r="G43" s="722"/>
      <c r="H43" s="722"/>
      <c r="I43" s="722"/>
      <c r="J43" s="723"/>
    </row>
    <row r="44" spans="1:10" ht="12.75" customHeight="1" x14ac:dyDescent="0.2">
      <c r="A44" s="724"/>
      <c r="B44" s="725"/>
      <c r="C44" s="725"/>
      <c r="D44" s="725"/>
      <c r="E44" s="725"/>
      <c r="F44" s="725"/>
      <c r="G44" s="725"/>
      <c r="H44" s="725"/>
      <c r="I44" s="725"/>
      <c r="J44" s="726"/>
    </row>
    <row r="45" spans="1:10" ht="12.75" customHeight="1" x14ac:dyDescent="0.2">
      <c r="A45" s="724"/>
      <c r="B45" s="725"/>
      <c r="C45" s="725"/>
      <c r="D45" s="725"/>
      <c r="E45" s="725"/>
      <c r="F45" s="725"/>
      <c r="G45" s="725"/>
      <c r="H45" s="725"/>
      <c r="I45" s="725"/>
      <c r="J45" s="726"/>
    </row>
    <row r="46" spans="1:10" ht="15" customHeight="1" x14ac:dyDescent="0.2">
      <c r="A46" s="727"/>
      <c r="B46" s="728"/>
      <c r="C46" s="728"/>
      <c r="D46" s="728"/>
      <c r="E46" s="728"/>
      <c r="F46" s="728"/>
      <c r="G46" s="728"/>
      <c r="H46" s="728"/>
      <c r="I46" s="728"/>
      <c r="J46" s="729"/>
    </row>
    <row r="47" spans="1:10" ht="12.75" customHeight="1" x14ac:dyDescent="0.2">
      <c r="A47" s="742" t="s">
        <v>1074</v>
      </c>
      <c r="B47" s="743"/>
      <c r="C47" s="743"/>
      <c r="D47" s="743"/>
      <c r="E47" s="743"/>
      <c r="F47" s="743"/>
      <c r="G47" s="743"/>
      <c r="H47" s="743"/>
      <c r="I47" s="743"/>
      <c r="J47" s="744"/>
    </row>
    <row r="48" spans="1:10" ht="12.75" customHeight="1" x14ac:dyDescent="0.2">
      <c r="A48" s="742"/>
      <c r="B48" s="743"/>
      <c r="C48" s="743"/>
      <c r="D48" s="743"/>
      <c r="E48" s="743"/>
      <c r="F48" s="743"/>
      <c r="G48" s="743"/>
      <c r="H48" s="743"/>
      <c r="I48" s="743"/>
      <c r="J48" s="744"/>
    </row>
    <row r="49" spans="1:10" ht="12.75" customHeight="1" x14ac:dyDescent="0.2">
      <c r="A49" s="742"/>
      <c r="B49" s="743"/>
      <c r="C49" s="743"/>
      <c r="D49" s="743"/>
      <c r="E49" s="743"/>
      <c r="F49" s="743"/>
      <c r="G49" s="743"/>
      <c r="H49" s="743"/>
      <c r="I49" s="743"/>
      <c r="J49" s="744"/>
    </row>
    <row r="50" spans="1:10" ht="12.75" customHeight="1" x14ac:dyDescent="0.2">
      <c r="A50" s="742"/>
      <c r="B50" s="743"/>
      <c r="C50" s="743"/>
      <c r="D50" s="743"/>
      <c r="E50" s="743"/>
      <c r="F50" s="743"/>
      <c r="G50" s="743"/>
      <c r="H50" s="743"/>
      <c r="I50" s="743"/>
      <c r="J50" s="744"/>
    </row>
    <row r="51" spans="1:10" ht="12.75" customHeight="1" x14ac:dyDescent="0.2">
      <c r="A51" s="742"/>
      <c r="B51" s="743"/>
      <c r="C51" s="743"/>
      <c r="D51" s="743"/>
      <c r="E51" s="743"/>
      <c r="F51" s="743"/>
      <c r="G51" s="743"/>
      <c r="H51" s="743"/>
      <c r="I51" s="743"/>
      <c r="J51" s="744"/>
    </row>
    <row r="52" spans="1:10" ht="12.75" customHeight="1" x14ac:dyDescent="0.2">
      <c r="A52" s="742"/>
      <c r="B52" s="743"/>
      <c r="C52" s="743"/>
      <c r="D52" s="743"/>
      <c r="E52" s="743"/>
      <c r="F52" s="743"/>
      <c r="G52" s="743"/>
      <c r="H52" s="743"/>
      <c r="I52" s="743"/>
      <c r="J52" s="744"/>
    </row>
    <row r="53" spans="1:10" ht="12.75" customHeight="1" x14ac:dyDescent="0.2">
      <c r="A53" s="742"/>
      <c r="B53" s="743"/>
      <c r="C53" s="743"/>
      <c r="D53" s="743"/>
      <c r="E53" s="743"/>
      <c r="F53" s="743"/>
      <c r="G53" s="743"/>
      <c r="H53" s="743"/>
      <c r="I53" s="743"/>
      <c r="J53" s="744"/>
    </row>
    <row r="54" spans="1:10" ht="12.75" customHeight="1" x14ac:dyDescent="0.2">
      <c r="A54" s="742"/>
      <c r="B54" s="743"/>
      <c r="C54" s="743"/>
      <c r="D54" s="743"/>
      <c r="E54" s="743"/>
      <c r="F54" s="743"/>
      <c r="G54" s="743"/>
      <c r="H54" s="743"/>
      <c r="I54" s="743"/>
      <c r="J54" s="744"/>
    </row>
    <row r="55" spans="1:10" ht="12.75" customHeight="1" x14ac:dyDescent="0.2">
      <c r="A55" s="742"/>
      <c r="B55" s="743"/>
      <c r="C55" s="743"/>
      <c r="D55" s="743"/>
      <c r="E55" s="743"/>
      <c r="F55" s="743"/>
      <c r="G55" s="743"/>
      <c r="H55" s="743"/>
      <c r="I55" s="743"/>
      <c r="J55" s="744"/>
    </row>
    <row r="56" spans="1:10" ht="12.75" customHeight="1" x14ac:dyDescent="0.2">
      <c r="A56" s="742"/>
      <c r="B56" s="743"/>
      <c r="C56" s="743"/>
      <c r="D56" s="743"/>
      <c r="E56" s="743"/>
      <c r="F56" s="743"/>
      <c r="G56" s="743"/>
      <c r="H56" s="743"/>
      <c r="I56" s="743"/>
      <c r="J56" s="744"/>
    </row>
    <row r="57" spans="1:10" ht="12.75" customHeight="1" x14ac:dyDescent="0.2">
      <c r="A57" s="742"/>
      <c r="B57" s="743"/>
      <c r="C57" s="743"/>
      <c r="D57" s="743"/>
      <c r="E57" s="743"/>
      <c r="F57" s="743"/>
      <c r="G57" s="743"/>
      <c r="H57" s="743"/>
      <c r="I57" s="743"/>
      <c r="J57" s="744"/>
    </row>
    <row r="58" spans="1:10" ht="12.75" customHeight="1" x14ac:dyDescent="0.2">
      <c r="A58" s="742"/>
      <c r="B58" s="743"/>
      <c r="C58" s="743"/>
      <c r="D58" s="743"/>
      <c r="E58" s="743"/>
      <c r="F58" s="743"/>
      <c r="G58" s="743"/>
      <c r="H58" s="743"/>
      <c r="I58" s="743"/>
      <c r="J58" s="744"/>
    </row>
    <row r="59" spans="1:10" ht="12.75" customHeight="1" x14ac:dyDescent="0.2">
      <c r="A59" s="742"/>
      <c r="B59" s="743"/>
      <c r="C59" s="743"/>
      <c r="D59" s="743"/>
      <c r="E59" s="743"/>
      <c r="F59" s="743"/>
      <c r="G59" s="743"/>
      <c r="H59" s="743"/>
      <c r="I59" s="743"/>
      <c r="J59" s="744"/>
    </row>
    <row r="60" spans="1:10" ht="12.75" customHeight="1" x14ac:dyDescent="0.2">
      <c r="A60" s="742"/>
      <c r="B60" s="743"/>
      <c r="C60" s="743"/>
      <c r="D60" s="743"/>
      <c r="E60" s="743"/>
      <c r="F60" s="743"/>
      <c r="G60" s="743"/>
      <c r="H60" s="743"/>
      <c r="I60" s="743"/>
      <c r="J60" s="744"/>
    </row>
    <row r="61" spans="1:10" ht="12.75" customHeight="1" x14ac:dyDescent="0.2">
      <c r="A61" s="742"/>
      <c r="B61" s="743"/>
      <c r="C61" s="743"/>
      <c r="D61" s="743"/>
      <c r="E61" s="743"/>
      <c r="F61" s="743"/>
      <c r="G61" s="743"/>
      <c r="H61" s="743"/>
      <c r="I61" s="743"/>
      <c r="J61" s="744"/>
    </row>
    <row r="62" spans="1:10" ht="12.75" customHeight="1" x14ac:dyDescent="0.2">
      <c r="A62" s="742"/>
      <c r="B62" s="743"/>
      <c r="C62" s="743"/>
      <c r="D62" s="743"/>
      <c r="E62" s="743"/>
      <c r="F62" s="743"/>
      <c r="G62" s="743"/>
      <c r="H62" s="743"/>
      <c r="I62" s="743"/>
      <c r="J62" s="744"/>
    </row>
    <row r="63" spans="1:10" ht="12.75" customHeight="1" x14ac:dyDescent="0.2">
      <c r="A63" s="742"/>
      <c r="B63" s="743"/>
      <c r="C63" s="743"/>
      <c r="D63" s="743"/>
      <c r="E63" s="743"/>
      <c r="F63" s="743"/>
      <c r="G63" s="743"/>
      <c r="H63" s="743"/>
      <c r="I63" s="743"/>
      <c r="J63" s="744"/>
    </row>
    <row r="64" spans="1:10" ht="12.75" customHeight="1" x14ac:dyDescent="0.2">
      <c r="A64" s="742"/>
      <c r="B64" s="743"/>
      <c r="C64" s="743"/>
      <c r="D64" s="743"/>
      <c r="E64" s="743"/>
      <c r="F64" s="743"/>
      <c r="G64" s="743"/>
      <c r="H64" s="743"/>
      <c r="I64" s="743"/>
      <c r="J64" s="744"/>
    </row>
    <row r="65" spans="1:30" ht="12.75" customHeight="1" x14ac:dyDescent="0.2">
      <c r="A65" s="742"/>
      <c r="B65" s="743"/>
      <c r="C65" s="743"/>
      <c r="D65" s="743"/>
      <c r="E65" s="743"/>
      <c r="F65" s="743"/>
      <c r="G65" s="743"/>
      <c r="H65" s="743"/>
      <c r="I65" s="743"/>
      <c r="J65" s="744"/>
    </row>
    <row r="66" spans="1:30" ht="12.75" customHeight="1" x14ac:dyDescent="0.2">
      <c r="A66" s="742"/>
      <c r="B66" s="743"/>
      <c r="C66" s="743"/>
      <c r="D66" s="743"/>
      <c r="E66" s="743"/>
      <c r="F66" s="743"/>
      <c r="G66" s="743"/>
      <c r="H66" s="743"/>
      <c r="I66" s="743"/>
      <c r="J66" s="744"/>
    </row>
    <row r="67" spans="1:30" ht="12.75" customHeight="1" x14ac:dyDescent="0.2">
      <c r="A67" s="742"/>
      <c r="B67" s="743"/>
      <c r="C67" s="743"/>
      <c r="D67" s="743"/>
      <c r="E67" s="743"/>
      <c r="F67" s="743"/>
      <c r="G67" s="743"/>
      <c r="H67" s="743"/>
      <c r="I67" s="743"/>
      <c r="J67" s="744"/>
    </row>
    <row r="68" spans="1:30" ht="12.75" customHeight="1" thickBot="1" x14ac:dyDescent="0.25">
      <c r="A68" s="748"/>
      <c r="B68" s="749"/>
      <c r="C68" s="749"/>
      <c r="D68" s="749"/>
      <c r="E68" s="749"/>
      <c r="F68" s="749"/>
      <c r="G68" s="749"/>
      <c r="H68" s="749"/>
      <c r="I68" s="749"/>
      <c r="J68" s="750"/>
    </row>
    <row r="69" spans="1:30" ht="12.75" customHeight="1" thickTop="1" x14ac:dyDescent="0.2"/>
    <row r="72" spans="1:30" ht="12.75" customHeight="1" x14ac:dyDescent="0.2">
      <c r="B72" s="978"/>
      <c r="C72" s="978"/>
      <c r="D72" s="978"/>
      <c r="E72" s="978"/>
      <c r="F72" s="978"/>
      <c r="G72" s="978"/>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row>
    <row r="73" spans="1:30" ht="12.75" customHeight="1" x14ac:dyDescent="0.2">
      <c r="B73" s="978"/>
      <c r="C73" s="978"/>
      <c r="D73" s="978"/>
      <c r="E73" s="978"/>
      <c r="F73" s="978"/>
      <c r="G73" s="978"/>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row>
    <row r="74" spans="1:30" ht="12.75" customHeight="1" x14ac:dyDescent="0.2">
      <c r="B74" s="952"/>
      <c r="C74" s="952"/>
      <c r="D74" s="952"/>
      <c r="E74" s="952"/>
      <c r="F74" s="952"/>
      <c r="G74" s="952"/>
      <c r="H74" s="93"/>
      <c r="I74" s="93"/>
      <c r="J74" s="93"/>
      <c r="K74" s="93"/>
      <c r="L74" s="93"/>
      <c r="M74" s="93"/>
      <c r="N74" s="93"/>
      <c r="O74" s="93"/>
      <c r="P74" s="93"/>
      <c r="Q74" s="93"/>
      <c r="R74" s="93"/>
      <c r="S74" s="93"/>
      <c r="T74" s="93"/>
      <c r="U74" s="93"/>
      <c r="V74" s="93"/>
      <c r="W74" s="93"/>
      <c r="X74" s="93"/>
      <c r="Y74" s="93"/>
      <c r="Z74" s="93"/>
      <c r="AA74" s="93"/>
      <c r="AB74" s="93"/>
      <c r="AC74" s="93"/>
      <c r="AD74" s="93"/>
    </row>
    <row r="75" spans="1:30" ht="12.75" customHeight="1" x14ac:dyDescent="0.2">
      <c r="B75" s="952"/>
      <c r="C75" s="952"/>
      <c r="D75" s="952"/>
      <c r="E75" s="952"/>
      <c r="F75" s="952"/>
      <c r="G75" s="952"/>
      <c r="H75" s="93"/>
      <c r="I75" s="93"/>
      <c r="J75" s="93"/>
      <c r="K75" s="93"/>
      <c r="L75" s="93"/>
      <c r="M75" s="93"/>
      <c r="N75" s="93"/>
      <c r="O75" s="93"/>
      <c r="P75" s="93"/>
      <c r="Q75" s="93"/>
      <c r="R75" s="93"/>
      <c r="S75" s="93"/>
      <c r="T75" s="93"/>
      <c r="U75" s="93"/>
      <c r="V75" s="93"/>
      <c r="W75" s="93"/>
      <c r="X75" s="93"/>
      <c r="Y75" s="93"/>
      <c r="Z75" s="93"/>
      <c r="AA75" s="93"/>
      <c r="AB75" s="93"/>
      <c r="AC75" s="93"/>
      <c r="AD75" s="93"/>
    </row>
    <row r="76" spans="1:30" ht="12.75" customHeight="1" x14ac:dyDescent="0.2">
      <c r="B76" s="952"/>
      <c r="C76" s="952"/>
      <c r="D76" s="952"/>
      <c r="E76" s="952"/>
      <c r="F76" s="952"/>
      <c r="G76" s="952"/>
    </row>
  </sheetData>
  <sheetProtection password="E686" sheet="1" objects="1" scenarios="1" formatRows="0"/>
  <mergeCells count="14">
    <mergeCell ref="A22:J41"/>
    <mergeCell ref="A18:J21"/>
    <mergeCell ref="A1:J2"/>
    <mergeCell ref="A3:J5"/>
    <mergeCell ref="A6:J7"/>
    <mergeCell ref="D10:I11"/>
    <mergeCell ref="D13:I14"/>
    <mergeCell ref="A17:J17"/>
    <mergeCell ref="B74:G76"/>
    <mergeCell ref="A43:J46"/>
    <mergeCell ref="A47:J68"/>
    <mergeCell ref="A42:J42"/>
    <mergeCell ref="B72:G72"/>
    <mergeCell ref="B73:G73"/>
  </mergeCells>
  <dataValidations count="4">
    <dataValidation type="textLength" operator="lessThan" allowBlank="1" showInputMessage="1" showErrorMessage="1" errorTitle="Too Much Text" error="Provide a brief description using no more than 100 characters here.  A more full description should be included within the narrative (tab 9)." sqref="G47:J68 G22:J41">
      <formula1>101</formula1>
    </dataValidation>
    <dataValidation allowBlank="1" showInputMessage="1" showErrorMessage="1" promptTitle="Total Amount" prompt="Input the total amount of these funds being used to fund this individual's salary and benefits." sqref="F47:F68 F22:F41"/>
    <dataValidation type="list" allowBlank="1" showInputMessage="1" showErrorMessage="1" sqref="E47:E68 E22:E41">
      <formula1>program</formula1>
    </dataValidation>
    <dataValidation type="list" allowBlank="1" showInputMessage="1" showErrorMessage="1" sqref="B10 B13">
      <formula1>check</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419"/>
  <sheetViews>
    <sheetView zoomScale="87" zoomScaleNormal="87" workbookViewId="0">
      <selection activeCell="A14" sqref="A14:J17"/>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979" t="s">
        <v>188</v>
      </c>
      <c r="B1" s="980"/>
      <c r="C1" s="980"/>
      <c r="D1" s="980"/>
      <c r="E1" s="980"/>
      <c r="F1" s="980"/>
      <c r="G1" s="980"/>
      <c r="H1" s="980"/>
      <c r="I1" s="980"/>
      <c r="J1" s="981"/>
    </row>
    <row r="2" spans="1:10" ht="12.75" customHeight="1" x14ac:dyDescent="0.2">
      <c r="A2" s="982"/>
      <c r="B2" s="983"/>
      <c r="C2" s="983"/>
      <c r="D2" s="983"/>
      <c r="E2" s="983"/>
      <c r="F2" s="983"/>
      <c r="G2" s="983"/>
      <c r="H2" s="983"/>
      <c r="I2" s="983"/>
      <c r="J2" s="984"/>
    </row>
    <row r="3" spans="1:10" ht="12.75" customHeight="1" x14ac:dyDescent="0.2">
      <c r="A3" s="673" t="s">
        <v>177</v>
      </c>
      <c r="B3" s="674"/>
      <c r="C3" s="674"/>
      <c r="D3" s="674"/>
      <c r="E3" s="674"/>
      <c r="F3" s="674"/>
      <c r="G3" s="674"/>
      <c r="H3" s="674"/>
      <c r="I3" s="674"/>
      <c r="J3" s="675"/>
    </row>
    <row r="4" spans="1:10" ht="12.75" customHeight="1" x14ac:dyDescent="0.2">
      <c r="A4" s="705"/>
      <c r="B4" s="706"/>
      <c r="C4" s="706"/>
      <c r="D4" s="706"/>
      <c r="E4" s="706"/>
      <c r="F4" s="706"/>
      <c r="G4" s="706"/>
      <c r="H4" s="706"/>
      <c r="I4" s="706"/>
      <c r="J4" s="707"/>
    </row>
    <row r="5" spans="1:10" ht="12.75" customHeight="1" x14ac:dyDescent="0.2">
      <c r="A5" s="676"/>
      <c r="B5" s="677"/>
      <c r="C5" s="677"/>
      <c r="D5" s="677"/>
      <c r="E5" s="677"/>
      <c r="F5" s="677"/>
      <c r="G5" s="677"/>
      <c r="H5" s="677"/>
      <c r="I5" s="677"/>
      <c r="J5" s="678"/>
    </row>
    <row r="6" spans="1:10" ht="12.75" customHeight="1" x14ac:dyDescent="0.2">
      <c r="A6" s="708" t="s">
        <v>185</v>
      </c>
      <c r="B6" s="709"/>
      <c r="C6" s="709"/>
      <c r="D6" s="709"/>
      <c r="E6" s="709"/>
      <c r="F6" s="709"/>
      <c r="G6" s="709"/>
      <c r="H6" s="709"/>
      <c r="I6" s="709"/>
      <c r="J6" s="710"/>
    </row>
    <row r="7" spans="1:10" ht="12.75" customHeight="1" x14ac:dyDescent="0.2">
      <c r="A7" s="711"/>
      <c r="B7" s="712"/>
      <c r="C7" s="712"/>
      <c r="D7" s="712"/>
      <c r="E7" s="712"/>
      <c r="F7" s="712"/>
      <c r="G7" s="712"/>
      <c r="H7" s="712"/>
      <c r="I7" s="712"/>
      <c r="J7" s="713"/>
    </row>
    <row r="8" spans="1:10" ht="12.75" customHeight="1" x14ac:dyDescent="0.2">
      <c r="A8" s="711"/>
      <c r="B8" s="712"/>
      <c r="C8" s="712"/>
      <c r="D8" s="712"/>
      <c r="E8" s="712"/>
      <c r="F8" s="712"/>
      <c r="G8" s="712"/>
      <c r="H8" s="712"/>
      <c r="I8" s="712"/>
      <c r="J8" s="713"/>
    </row>
    <row r="9" spans="1:10" ht="12.75" customHeight="1" x14ac:dyDescent="0.2">
      <c r="A9" s="711"/>
      <c r="B9" s="712"/>
      <c r="C9" s="712"/>
      <c r="D9" s="712"/>
      <c r="E9" s="712"/>
      <c r="F9" s="712"/>
      <c r="G9" s="712"/>
      <c r="H9" s="712"/>
      <c r="I9" s="712"/>
      <c r="J9" s="713"/>
    </row>
    <row r="10" spans="1:10" ht="12.75" customHeight="1" x14ac:dyDescent="0.2">
      <c r="A10" s="954"/>
      <c r="B10" s="955"/>
      <c r="C10" s="955"/>
      <c r="D10" s="955"/>
      <c r="E10" s="955"/>
      <c r="F10" s="955"/>
      <c r="G10" s="955"/>
      <c r="H10" s="955"/>
      <c r="I10" s="955"/>
      <c r="J10" s="956"/>
    </row>
    <row r="11" spans="1:10" s="61" customFormat="1" x14ac:dyDescent="0.2">
      <c r="A11" s="55"/>
      <c r="B11" s="56"/>
      <c r="C11" s="57"/>
      <c r="D11" s="58"/>
      <c r="E11" s="58"/>
      <c r="F11" s="58"/>
      <c r="G11" s="58"/>
      <c r="H11" s="59"/>
      <c r="I11" s="57"/>
      <c r="J11" s="60"/>
    </row>
    <row r="12" spans="1:10" s="61" customFormat="1" ht="25.5" customHeight="1" x14ac:dyDescent="0.2">
      <c r="A12" s="730" t="s">
        <v>187</v>
      </c>
      <c r="B12" s="731"/>
      <c r="C12" s="731"/>
      <c r="D12" s="731"/>
      <c r="E12" s="731"/>
      <c r="F12" s="731"/>
      <c r="G12" s="731"/>
      <c r="H12" s="731"/>
      <c r="I12" s="731"/>
      <c r="J12" s="732"/>
    </row>
    <row r="13" spans="1:10" s="61" customFormat="1" ht="12.75" customHeight="1" x14ac:dyDescent="0.2">
      <c r="A13" s="475" t="s">
        <v>178</v>
      </c>
      <c r="B13" s="476"/>
      <c r="C13" s="476"/>
      <c r="D13" s="476"/>
      <c r="E13" s="476"/>
      <c r="F13" s="746">
        <v>0.28000000000000003</v>
      </c>
      <c r="G13" s="746"/>
      <c r="H13" s="746"/>
      <c r="I13" s="746"/>
      <c r="J13" s="747"/>
    </row>
    <row r="14" spans="1:10" ht="12.75" customHeight="1" x14ac:dyDescent="0.2">
      <c r="A14" s="721" t="s">
        <v>370</v>
      </c>
      <c r="B14" s="722"/>
      <c r="C14" s="722"/>
      <c r="D14" s="722"/>
      <c r="E14" s="722"/>
      <c r="F14" s="722"/>
      <c r="G14" s="722"/>
      <c r="H14" s="722"/>
      <c r="I14" s="722"/>
      <c r="J14" s="723"/>
    </row>
    <row r="15" spans="1:10" ht="12.75" customHeight="1" x14ac:dyDescent="0.2">
      <c r="A15" s="724"/>
      <c r="B15" s="725"/>
      <c r="C15" s="725"/>
      <c r="D15" s="725"/>
      <c r="E15" s="725"/>
      <c r="F15" s="725"/>
      <c r="G15" s="725"/>
      <c r="H15" s="725"/>
      <c r="I15" s="725"/>
      <c r="J15" s="726"/>
    </row>
    <row r="16" spans="1:10" ht="12.75" customHeight="1" x14ac:dyDescent="0.2">
      <c r="A16" s="724"/>
      <c r="B16" s="725"/>
      <c r="C16" s="725"/>
      <c r="D16" s="725"/>
      <c r="E16" s="725"/>
      <c r="F16" s="725"/>
      <c r="G16" s="725"/>
      <c r="H16" s="725"/>
      <c r="I16" s="725"/>
      <c r="J16" s="726"/>
    </row>
    <row r="17" spans="1:10" ht="15" customHeight="1" x14ac:dyDescent="0.2">
      <c r="A17" s="727"/>
      <c r="B17" s="728"/>
      <c r="C17" s="728"/>
      <c r="D17" s="728"/>
      <c r="E17" s="728"/>
      <c r="F17" s="728"/>
      <c r="G17" s="728"/>
      <c r="H17" s="728"/>
      <c r="I17" s="728"/>
      <c r="J17" s="729"/>
    </row>
    <row r="18" spans="1:10" ht="12.75" customHeight="1" x14ac:dyDescent="0.2">
      <c r="A18" s="742" t="s">
        <v>1141</v>
      </c>
      <c r="B18" s="743"/>
      <c r="C18" s="743"/>
      <c r="D18" s="743"/>
      <c r="E18" s="743"/>
      <c r="F18" s="743"/>
      <c r="G18" s="743"/>
      <c r="H18" s="743"/>
      <c r="I18" s="743"/>
      <c r="J18" s="744"/>
    </row>
    <row r="19" spans="1:10" ht="12.75" customHeight="1" x14ac:dyDescent="0.2">
      <c r="A19" s="742"/>
      <c r="B19" s="743"/>
      <c r="C19" s="743"/>
      <c r="D19" s="743"/>
      <c r="E19" s="743"/>
      <c r="F19" s="743"/>
      <c r="G19" s="743"/>
      <c r="H19" s="743"/>
      <c r="I19" s="743"/>
      <c r="J19" s="744"/>
    </row>
    <row r="20" spans="1:10" ht="12.75" customHeight="1" x14ac:dyDescent="0.2">
      <c r="A20" s="742"/>
      <c r="B20" s="743"/>
      <c r="C20" s="743"/>
      <c r="D20" s="743"/>
      <c r="E20" s="743"/>
      <c r="F20" s="743"/>
      <c r="G20" s="743"/>
      <c r="H20" s="743"/>
      <c r="I20" s="743"/>
      <c r="J20" s="744"/>
    </row>
    <row r="21" spans="1:10" ht="12.75" customHeight="1" x14ac:dyDescent="0.2">
      <c r="A21" s="742"/>
      <c r="B21" s="743"/>
      <c r="C21" s="743"/>
      <c r="D21" s="743"/>
      <c r="E21" s="743"/>
      <c r="F21" s="743"/>
      <c r="G21" s="743"/>
      <c r="H21" s="743"/>
      <c r="I21" s="743"/>
      <c r="J21" s="744"/>
    </row>
    <row r="22" spans="1:10" ht="12.75" customHeight="1" x14ac:dyDescent="0.2">
      <c r="A22" s="742"/>
      <c r="B22" s="743"/>
      <c r="C22" s="743"/>
      <c r="D22" s="743"/>
      <c r="E22" s="743"/>
      <c r="F22" s="743"/>
      <c r="G22" s="743"/>
      <c r="H22" s="743"/>
      <c r="I22" s="743"/>
      <c r="J22" s="744"/>
    </row>
    <row r="23" spans="1:10" ht="12.75" customHeight="1" x14ac:dyDescent="0.2">
      <c r="A23" s="742"/>
      <c r="B23" s="743"/>
      <c r="C23" s="743"/>
      <c r="D23" s="743"/>
      <c r="E23" s="743"/>
      <c r="F23" s="743"/>
      <c r="G23" s="743"/>
      <c r="H23" s="743"/>
      <c r="I23" s="743"/>
      <c r="J23" s="744"/>
    </row>
    <row r="24" spans="1:10" ht="12.75" customHeight="1" x14ac:dyDescent="0.2">
      <c r="A24" s="742"/>
      <c r="B24" s="743"/>
      <c r="C24" s="743"/>
      <c r="D24" s="743"/>
      <c r="E24" s="743"/>
      <c r="F24" s="743"/>
      <c r="G24" s="743"/>
      <c r="H24" s="743"/>
      <c r="I24" s="743"/>
      <c r="J24" s="744"/>
    </row>
    <row r="25" spans="1:10" ht="12.75" customHeight="1" x14ac:dyDescent="0.2">
      <c r="A25" s="742"/>
      <c r="B25" s="743"/>
      <c r="C25" s="743"/>
      <c r="D25" s="743"/>
      <c r="E25" s="743"/>
      <c r="F25" s="743"/>
      <c r="G25" s="743"/>
      <c r="H25" s="743"/>
      <c r="I25" s="743"/>
      <c r="J25" s="744"/>
    </row>
    <row r="26" spans="1:10" ht="12.75" customHeight="1" x14ac:dyDescent="0.2">
      <c r="A26" s="742"/>
      <c r="B26" s="743"/>
      <c r="C26" s="743"/>
      <c r="D26" s="743"/>
      <c r="E26" s="743"/>
      <c r="F26" s="743"/>
      <c r="G26" s="743"/>
      <c r="H26" s="743"/>
      <c r="I26" s="743"/>
      <c r="J26" s="744"/>
    </row>
    <row r="27" spans="1:10" ht="12.75" customHeight="1" x14ac:dyDescent="0.2">
      <c r="A27" s="742"/>
      <c r="B27" s="743"/>
      <c r="C27" s="743"/>
      <c r="D27" s="743"/>
      <c r="E27" s="743"/>
      <c r="F27" s="743"/>
      <c r="G27" s="743"/>
      <c r="H27" s="743"/>
      <c r="I27" s="743"/>
      <c r="J27" s="744"/>
    </row>
    <row r="28" spans="1:10" ht="12.75" customHeight="1" x14ac:dyDescent="0.2">
      <c r="A28" s="742"/>
      <c r="B28" s="743"/>
      <c r="C28" s="743"/>
      <c r="D28" s="743"/>
      <c r="E28" s="743"/>
      <c r="F28" s="743"/>
      <c r="G28" s="743"/>
      <c r="H28" s="743"/>
      <c r="I28" s="743"/>
      <c r="J28" s="744"/>
    </row>
    <row r="29" spans="1:10" ht="12.75" customHeight="1" x14ac:dyDescent="0.2">
      <c r="A29" s="742"/>
      <c r="B29" s="743"/>
      <c r="C29" s="743"/>
      <c r="D29" s="743"/>
      <c r="E29" s="743"/>
      <c r="F29" s="743"/>
      <c r="G29" s="743"/>
      <c r="H29" s="743"/>
      <c r="I29" s="743"/>
      <c r="J29" s="744"/>
    </row>
    <row r="30" spans="1:10" ht="12.75" customHeight="1" x14ac:dyDescent="0.2">
      <c r="A30" s="742"/>
      <c r="B30" s="743"/>
      <c r="C30" s="743"/>
      <c r="D30" s="743"/>
      <c r="E30" s="743"/>
      <c r="F30" s="743"/>
      <c r="G30" s="743"/>
      <c r="H30" s="743"/>
      <c r="I30" s="743"/>
      <c r="J30" s="744"/>
    </row>
    <row r="31" spans="1:10" ht="12.75" customHeight="1" x14ac:dyDescent="0.2">
      <c r="A31" s="742"/>
      <c r="B31" s="743"/>
      <c r="C31" s="743"/>
      <c r="D31" s="743"/>
      <c r="E31" s="743"/>
      <c r="F31" s="743"/>
      <c r="G31" s="743"/>
      <c r="H31" s="743"/>
      <c r="I31" s="743"/>
      <c r="J31" s="744"/>
    </row>
    <row r="32" spans="1:10" ht="12.75" customHeight="1" x14ac:dyDescent="0.2">
      <c r="A32" s="742"/>
      <c r="B32" s="743"/>
      <c r="C32" s="743"/>
      <c r="D32" s="743"/>
      <c r="E32" s="743"/>
      <c r="F32" s="743"/>
      <c r="G32" s="743"/>
      <c r="H32" s="743"/>
      <c r="I32" s="743"/>
      <c r="J32" s="744"/>
    </row>
    <row r="33" spans="1:10" ht="12.75" customHeight="1" x14ac:dyDescent="0.2">
      <c r="A33" s="742"/>
      <c r="B33" s="743"/>
      <c r="C33" s="743"/>
      <c r="D33" s="743"/>
      <c r="E33" s="743"/>
      <c r="F33" s="743"/>
      <c r="G33" s="743"/>
      <c r="H33" s="743"/>
      <c r="I33" s="743"/>
      <c r="J33" s="744"/>
    </row>
    <row r="34" spans="1:10" ht="12.75" customHeight="1" x14ac:dyDescent="0.2">
      <c r="A34" s="742"/>
      <c r="B34" s="743"/>
      <c r="C34" s="743"/>
      <c r="D34" s="743"/>
      <c r="E34" s="743"/>
      <c r="F34" s="743"/>
      <c r="G34" s="743"/>
      <c r="H34" s="743"/>
      <c r="I34" s="743"/>
      <c r="J34" s="744"/>
    </row>
    <row r="35" spans="1:10" ht="12.75" customHeight="1" x14ac:dyDescent="0.2">
      <c r="A35" s="742"/>
      <c r="B35" s="743"/>
      <c r="C35" s="743"/>
      <c r="D35" s="743"/>
      <c r="E35" s="743"/>
      <c r="F35" s="743"/>
      <c r="G35" s="743"/>
      <c r="H35" s="743"/>
      <c r="I35" s="743"/>
      <c r="J35" s="744"/>
    </row>
    <row r="36" spans="1:10" ht="12.75" customHeight="1" x14ac:dyDescent="0.2">
      <c r="A36" s="742"/>
      <c r="B36" s="743"/>
      <c r="C36" s="743"/>
      <c r="D36" s="743"/>
      <c r="E36" s="743"/>
      <c r="F36" s="743"/>
      <c r="G36" s="743"/>
      <c r="H36" s="743"/>
      <c r="I36" s="743"/>
      <c r="J36" s="744"/>
    </row>
    <row r="37" spans="1:10" ht="12.75" customHeight="1" x14ac:dyDescent="0.2">
      <c r="A37" s="742"/>
      <c r="B37" s="743"/>
      <c r="C37" s="743"/>
      <c r="D37" s="743"/>
      <c r="E37" s="743"/>
      <c r="F37" s="743"/>
      <c r="G37" s="743"/>
      <c r="H37" s="743"/>
      <c r="I37" s="743"/>
      <c r="J37" s="744"/>
    </row>
    <row r="38" spans="1:10" ht="12.75" customHeight="1" x14ac:dyDescent="0.2">
      <c r="A38" s="742"/>
      <c r="B38" s="743"/>
      <c r="C38" s="743"/>
      <c r="D38" s="743"/>
      <c r="E38" s="743"/>
      <c r="F38" s="743"/>
      <c r="G38" s="743"/>
      <c r="H38" s="743"/>
      <c r="I38" s="743"/>
      <c r="J38" s="744"/>
    </row>
    <row r="39" spans="1:10" ht="12.75" customHeight="1" x14ac:dyDescent="0.2">
      <c r="A39" s="742"/>
      <c r="B39" s="743"/>
      <c r="C39" s="743"/>
      <c r="D39" s="743"/>
      <c r="E39" s="743"/>
      <c r="F39" s="743"/>
      <c r="G39" s="743"/>
      <c r="H39" s="743"/>
      <c r="I39" s="743"/>
      <c r="J39" s="744"/>
    </row>
    <row r="40" spans="1:10" ht="12.75" customHeight="1" x14ac:dyDescent="0.2">
      <c r="A40" s="742"/>
      <c r="B40" s="743"/>
      <c r="C40" s="743"/>
      <c r="D40" s="743"/>
      <c r="E40" s="743"/>
      <c r="F40" s="743"/>
      <c r="G40" s="743"/>
      <c r="H40" s="743"/>
      <c r="I40" s="743"/>
      <c r="J40" s="744"/>
    </row>
    <row r="41" spans="1:10" ht="12.75" customHeight="1" x14ac:dyDescent="0.2">
      <c r="A41" s="742"/>
      <c r="B41" s="743"/>
      <c r="C41" s="743"/>
      <c r="D41" s="743"/>
      <c r="E41" s="743"/>
      <c r="F41" s="743"/>
      <c r="G41" s="743"/>
      <c r="H41" s="743"/>
      <c r="I41" s="743"/>
      <c r="J41" s="744"/>
    </row>
    <row r="42" spans="1:10" ht="12.75" customHeight="1" x14ac:dyDescent="0.2">
      <c r="A42" s="742"/>
      <c r="B42" s="743"/>
      <c r="C42" s="743"/>
      <c r="D42" s="743"/>
      <c r="E42" s="743"/>
      <c r="F42" s="743"/>
      <c r="G42" s="743"/>
      <c r="H42" s="743"/>
      <c r="I42" s="743"/>
      <c r="J42" s="744"/>
    </row>
    <row r="43" spans="1:10" s="61" customFormat="1" x14ac:dyDescent="0.2">
      <c r="A43" s="55"/>
      <c r="B43" s="56"/>
      <c r="C43" s="57"/>
      <c r="D43" s="58"/>
      <c r="E43" s="58"/>
      <c r="F43" s="58"/>
      <c r="G43" s="58"/>
      <c r="H43" s="59"/>
      <c r="I43" s="57"/>
      <c r="J43" s="60"/>
    </row>
    <row r="44" spans="1:10" s="61" customFormat="1" ht="25.5" customHeight="1" x14ac:dyDescent="0.2">
      <c r="A44" s="730" t="s">
        <v>186</v>
      </c>
      <c r="B44" s="731"/>
      <c r="C44" s="731"/>
      <c r="D44" s="731"/>
      <c r="E44" s="731"/>
      <c r="F44" s="731"/>
      <c r="G44" s="731"/>
      <c r="H44" s="731"/>
      <c r="I44" s="731"/>
      <c r="J44" s="732"/>
    </row>
    <row r="45" spans="1:10" s="61" customFormat="1" ht="12.75" customHeight="1" x14ac:dyDescent="0.2">
      <c r="A45" s="475" t="s">
        <v>178</v>
      </c>
      <c r="B45" s="476"/>
      <c r="C45" s="476"/>
      <c r="D45" s="476"/>
      <c r="E45" s="476"/>
      <c r="F45" s="746">
        <v>0.17</v>
      </c>
      <c r="G45" s="746"/>
      <c r="H45" s="746"/>
      <c r="I45" s="746"/>
      <c r="J45" s="747"/>
    </row>
    <row r="46" spans="1:10" ht="12.75" customHeight="1" x14ac:dyDescent="0.2">
      <c r="A46" s="721" t="s">
        <v>370</v>
      </c>
      <c r="B46" s="722"/>
      <c r="C46" s="722"/>
      <c r="D46" s="722"/>
      <c r="E46" s="722"/>
      <c r="F46" s="722"/>
      <c r="G46" s="722"/>
      <c r="H46" s="722"/>
      <c r="I46" s="722"/>
      <c r="J46" s="723"/>
    </row>
    <row r="47" spans="1:10" ht="12.75" customHeight="1" x14ac:dyDescent="0.2">
      <c r="A47" s="724"/>
      <c r="B47" s="725"/>
      <c r="C47" s="725"/>
      <c r="D47" s="725"/>
      <c r="E47" s="725"/>
      <c r="F47" s="725"/>
      <c r="G47" s="725"/>
      <c r="H47" s="725"/>
      <c r="I47" s="725"/>
      <c r="J47" s="726"/>
    </row>
    <row r="48" spans="1:10" ht="12.75" customHeight="1" x14ac:dyDescent="0.2">
      <c r="A48" s="724"/>
      <c r="B48" s="725"/>
      <c r="C48" s="725"/>
      <c r="D48" s="725"/>
      <c r="E48" s="725"/>
      <c r="F48" s="725"/>
      <c r="G48" s="725"/>
      <c r="H48" s="725"/>
      <c r="I48" s="725"/>
      <c r="J48" s="726"/>
    </row>
    <row r="49" spans="1:10" ht="15" customHeight="1" x14ac:dyDescent="0.2">
      <c r="A49" s="727"/>
      <c r="B49" s="728"/>
      <c r="C49" s="728"/>
      <c r="D49" s="728"/>
      <c r="E49" s="728"/>
      <c r="F49" s="728"/>
      <c r="G49" s="728"/>
      <c r="H49" s="728"/>
      <c r="I49" s="728"/>
      <c r="J49" s="729"/>
    </row>
    <row r="50" spans="1:10" ht="12.75" customHeight="1" x14ac:dyDescent="0.2">
      <c r="A50" s="742" t="s">
        <v>1139</v>
      </c>
      <c r="B50" s="743"/>
      <c r="C50" s="743"/>
      <c r="D50" s="743"/>
      <c r="E50" s="743"/>
      <c r="F50" s="743"/>
      <c r="G50" s="743"/>
      <c r="H50" s="743"/>
      <c r="I50" s="743"/>
      <c r="J50" s="744"/>
    </row>
    <row r="51" spans="1:10" ht="12.75" customHeight="1" x14ac:dyDescent="0.2">
      <c r="A51" s="742"/>
      <c r="B51" s="743"/>
      <c r="C51" s="743"/>
      <c r="D51" s="743"/>
      <c r="E51" s="743"/>
      <c r="F51" s="743"/>
      <c r="G51" s="743"/>
      <c r="H51" s="743"/>
      <c r="I51" s="743"/>
      <c r="J51" s="744"/>
    </row>
    <row r="52" spans="1:10" ht="12.75" customHeight="1" x14ac:dyDescent="0.2">
      <c r="A52" s="742"/>
      <c r="B52" s="743"/>
      <c r="C52" s="743"/>
      <c r="D52" s="743"/>
      <c r="E52" s="743"/>
      <c r="F52" s="743"/>
      <c r="G52" s="743"/>
      <c r="H52" s="743"/>
      <c r="I52" s="743"/>
      <c r="J52" s="744"/>
    </row>
    <row r="53" spans="1:10" ht="12.75" customHeight="1" x14ac:dyDescent="0.2">
      <c r="A53" s="742"/>
      <c r="B53" s="743"/>
      <c r="C53" s="743"/>
      <c r="D53" s="743"/>
      <c r="E53" s="743"/>
      <c r="F53" s="743"/>
      <c r="G53" s="743"/>
      <c r="H53" s="743"/>
      <c r="I53" s="743"/>
      <c r="J53" s="744"/>
    </row>
    <row r="54" spans="1:10" ht="12.75" customHeight="1" x14ac:dyDescent="0.2">
      <c r="A54" s="742"/>
      <c r="B54" s="743"/>
      <c r="C54" s="743"/>
      <c r="D54" s="743"/>
      <c r="E54" s="743"/>
      <c r="F54" s="743"/>
      <c r="G54" s="743"/>
      <c r="H54" s="743"/>
      <c r="I54" s="743"/>
      <c r="J54" s="744"/>
    </row>
    <row r="55" spans="1:10" ht="12.75" customHeight="1" x14ac:dyDescent="0.2">
      <c r="A55" s="742"/>
      <c r="B55" s="743"/>
      <c r="C55" s="743"/>
      <c r="D55" s="743"/>
      <c r="E55" s="743"/>
      <c r="F55" s="743"/>
      <c r="G55" s="743"/>
      <c r="H55" s="743"/>
      <c r="I55" s="743"/>
      <c r="J55" s="744"/>
    </row>
    <row r="56" spans="1:10" ht="12.75" customHeight="1" x14ac:dyDescent="0.2">
      <c r="A56" s="742"/>
      <c r="B56" s="743"/>
      <c r="C56" s="743"/>
      <c r="D56" s="743"/>
      <c r="E56" s="743"/>
      <c r="F56" s="743"/>
      <c r="G56" s="743"/>
      <c r="H56" s="743"/>
      <c r="I56" s="743"/>
      <c r="J56" s="744"/>
    </row>
    <row r="57" spans="1:10" ht="12.75" customHeight="1" x14ac:dyDescent="0.2">
      <c r="A57" s="742"/>
      <c r="B57" s="743"/>
      <c r="C57" s="743"/>
      <c r="D57" s="743"/>
      <c r="E57" s="743"/>
      <c r="F57" s="743"/>
      <c r="G57" s="743"/>
      <c r="H57" s="743"/>
      <c r="I57" s="743"/>
      <c r="J57" s="744"/>
    </row>
    <row r="58" spans="1:10" ht="12.75" customHeight="1" x14ac:dyDescent="0.2">
      <c r="A58" s="742"/>
      <c r="B58" s="743"/>
      <c r="C58" s="743"/>
      <c r="D58" s="743"/>
      <c r="E58" s="743"/>
      <c r="F58" s="743"/>
      <c r="G58" s="743"/>
      <c r="H58" s="743"/>
      <c r="I58" s="743"/>
      <c r="J58" s="744"/>
    </row>
    <row r="59" spans="1:10" ht="12.75" customHeight="1" x14ac:dyDescent="0.2">
      <c r="A59" s="742"/>
      <c r="B59" s="743"/>
      <c r="C59" s="743"/>
      <c r="D59" s="743"/>
      <c r="E59" s="743"/>
      <c r="F59" s="743"/>
      <c r="G59" s="743"/>
      <c r="H59" s="743"/>
      <c r="I59" s="743"/>
      <c r="J59" s="744"/>
    </row>
    <row r="60" spans="1:10" ht="12.75" customHeight="1" x14ac:dyDescent="0.2">
      <c r="A60" s="742"/>
      <c r="B60" s="743"/>
      <c r="C60" s="743"/>
      <c r="D60" s="743"/>
      <c r="E60" s="743"/>
      <c r="F60" s="743"/>
      <c r="G60" s="743"/>
      <c r="H60" s="743"/>
      <c r="I60" s="743"/>
      <c r="J60" s="744"/>
    </row>
    <row r="61" spans="1:10" ht="12.75" customHeight="1" x14ac:dyDescent="0.2">
      <c r="A61" s="742"/>
      <c r="B61" s="743"/>
      <c r="C61" s="743"/>
      <c r="D61" s="743"/>
      <c r="E61" s="743"/>
      <c r="F61" s="743"/>
      <c r="G61" s="743"/>
      <c r="H61" s="743"/>
      <c r="I61" s="743"/>
      <c r="J61" s="744"/>
    </row>
    <row r="62" spans="1:10" ht="12.75" customHeight="1" x14ac:dyDescent="0.2">
      <c r="A62" s="742"/>
      <c r="B62" s="743"/>
      <c r="C62" s="743"/>
      <c r="D62" s="743"/>
      <c r="E62" s="743"/>
      <c r="F62" s="743"/>
      <c r="G62" s="743"/>
      <c r="H62" s="743"/>
      <c r="I62" s="743"/>
      <c r="J62" s="744"/>
    </row>
    <row r="63" spans="1:10" ht="12.75" customHeight="1" x14ac:dyDescent="0.2">
      <c r="A63" s="742"/>
      <c r="B63" s="743"/>
      <c r="C63" s="743"/>
      <c r="D63" s="743"/>
      <c r="E63" s="743"/>
      <c r="F63" s="743"/>
      <c r="G63" s="743"/>
      <c r="H63" s="743"/>
      <c r="I63" s="743"/>
      <c r="J63" s="744"/>
    </row>
    <row r="64" spans="1:10" ht="12.75" customHeight="1" x14ac:dyDescent="0.2">
      <c r="A64" s="742"/>
      <c r="B64" s="743"/>
      <c r="C64" s="743"/>
      <c r="D64" s="743"/>
      <c r="E64" s="743"/>
      <c r="F64" s="743"/>
      <c r="G64" s="743"/>
      <c r="H64" s="743"/>
      <c r="I64" s="743"/>
      <c r="J64" s="744"/>
    </row>
    <row r="65" spans="1:10" ht="12.75" customHeight="1" x14ac:dyDescent="0.2">
      <c r="A65" s="742"/>
      <c r="B65" s="743"/>
      <c r="C65" s="743"/>
      <c r="D65" s="743"/>
      <c r="E65" s="743"/>
      <c r="F65" s="743"/>
      <c r="G65" s="743"/>
      <c r="H65" s="743"/>
      <c r="I65" s="743"/>
      <c r="J65" s="744"/>
    </row>
    <row r="66" spans="1:10" ht="12.75" customHeight="1" x14ac:dyDescent="0.2">
      <c r="A66" s="742"/>
      <c r="B66" s="743"/>
      <c r="C66" s="743"/>
      <c r="D66" s="743"/>
      <c r="E66" s="743"/>
      <c r="F66" s="743"/>
      <c r="G66" s="743"/>
      <c r="H66" s="743"/>
      <c r="I66" s="743"/>
      <c r="J66" s="744"/>
    </row>
    <row r="67" spans="1:10" ht="12.75" customHeight="1" x14ac:dyDescent="0.2">
      <c r="A67" s="742"/>
      <c r="B67" s="743"/>
      <c r="C67" s="743"/>
      <c r="D67" s="743"/>
      <c r="E67" s="743"/>
      <c r="F67" s="743"/>
      <c r="G67" s="743"/>
      <c r="H67" s="743"/>
      <c r="I67" s="743"/>
      <c r="J67" s="744"/>
    </row>
    <row r="68" spans="1:10" ht="12.75" customHeight="1" x14ac:dyDescent="0.2">
      <c r="A68" s="742"/>
      <c r="B68" s="743"/>
      <c r="C68" s="743"/>
      <c r="D68" s="743"/>
      <c r="E68" s="743"/>
      <c r="F68" s="743"/>
      <c r="G68" s="743"/>
      <c r="H68" s="743"/>
      <c r="I68" s="743"/>
      <c r="J68" s="744"/>
    </row>
    <row r="69" spans="1:10" ht="12.75" customHeight="1" x14ac:dyDescent="0.2">
      <c r="A69" s="742"/>
      <c r="B69" s="743"/>
      <c r="C69" s="743"/>
      <c r="D69" s="743"/>
      <c r="E69" s="743"/>
      <c r="F69" s="743"/>
      <c r="G69" s="743"/>
      <c r="H69" s="743"/>
      <c r="I69" s="743"/>
      <c r="J69" s="744"/>
    </row>
    <row r="70" spans="1:10" ht="12.75" customHeight="1" x14ac:dyDescent="0.2">
      <c r="A70" s="742"/>
      <c r="B70" s="743"/>
      <c r="C70" s="743"/>
      <c r="D70" s="743"/>
      <c r="E70" s="743"/>
      <c r="F70" s="743"/>
      <c r="G70" s="743"/>
      <c r="H70" s="743"/>
      <c r="I70" s="743"/>
      <c r="J70" s="744"/>
    </row>
    <row r="71" spans="1:10" ht="12.75" customHeight="1" x14ac:dyDescent="0.2">
      <c r="A71" s="742"/>
      <c r="B71" s="743"/>
      <c r="C71" s="743"/>
      <c r="D71" s="743"/>
      <c r="E71" s="743"/>
      <c r="F71" s="743"/>
      <c r="G71" s="743"/>
      <c r="H71" s="743"/>
      <c r="I71" s="743"/>
      <c r="J71" s="744"/>
    </row>
    <row r="72" spans="1:10" ht="12.75" customHeight="1" x14ac:dyDescent="0.2">
      <c r="A72" s="742"/>
      <c r="B72" s="743"/>
      <c r="C72" s="743"/>
      <c r="D72" s="743"/>
      <c r="E72" s="743"/>
      <c r="F72" s="743"/>
      <c r="G72" s="743"/>
      <c r="H72" s="743"/>
      <c r="I72" s="743"/>
      <c r="J72" s="744"/>
    </row>
    <row r="73" spans="1:10" ht="12.75" customHeight="1" x14ac:dyDescent="0.2">
      <c r="A73" s="742"/>
      <c r="B73" s="743"/>
      <c r="C73" s="743"/>
      <c r="D73" s="743"/>
      <c r="E73" s="743"/>
      <c r="F73" s="743"/>
      <c r="G73" s="743"/>
      <c r="H73" s="743"/>
      <c r="I73" s="743"/>
      <c r="J73" s="744"/>
    </row>
    <row r="74" spans="1:10" ht="12.75" customHeight="1" x14ac:dyDescent="0.2">
      <c r="A74" s="742"/>
      <c r="B74" s="743"/>
      <c r="C74" s="743"/>
      <c r="D74" s="743"/>
      <c r="E74" s="743"/>
      <c r="F74" s="743"/>
      <c r="G74" s="743"/>
      <c r="H74" s="743"/>
      <c r="I74" s="743"/>
      <c r="J74" s="744"/>
    </row>
    <row r="75" spans="1:10" ht="12.75" customHeight="1" x14ac:dyDescent="0.2">
      <c r="A75" s="742"/>
      <c r="B75" s="743"/>
      <c r="C75" s="743"/>
      <c r="D75" s="743"/>
      <c r="E75" s="743"/>
      <c r="F75" s="743"/>
      <c r="G75" s="743"/>
      <c r="H75" s="743"/>
      <c r="I75" s="743"/>
      <c r="J75" s="744"/>
    </row>
    <row r="76" spans="1:10" ht="12.75" customHeight="1" x14ac:dyDescent="0.2">
      <c r="A76" s="742"/>
      <c r="B76" s="743"/>
      <c r="C76" s="743"/>
      <c r="D76" s="743"/>
      <c r="E76" s="743"/>
      <c r="F76" s="743"/>
      <c r="G76" s="743"/>
      <c r="H76" s="743"/>
      <c r="I76" s="743"/>
      <c r="J76" s="744"/>
    </row>
    <row r="77" spans="1:10" ht="12.75" customHeight="1" x14ac:dyDescent="0.2">
      <c r="A77" s="742"/>
      <c r="B77" s="743"/>
      <c r="C77" s="743"/>
      <c r="D77" s="743"/>
      <c r="E77" s="743"/>
      <c r="F77" s="743"/>
      <c r="G77" s="743"/>
      <c r="H77" s="743"/>
      <c r="I77" s="743"/>
      <c r="J77" s="744"/>
    </row>
    <row r="78" spans="1:10" ht="12.75" customHeight="1" x14ac:dyDescent="0.2">
      <c r="A78" s="742"/>
      <c r="B78" s="743"/>
      <c r="C78" s="743"/>
      <c r="D78" s="743"/>
      <c r="E78" s="743"/>
      <c r="F78" s="743"/>
      <c r="G78" s="743"/>
      <c r="H78" s="743"/>
      <c r="I78" s="743"/>
      <c r="J78" s="744"/>
    </row>
    <row r="79" spans="1:10" ht="12.75" customHeight="1" x14ac:dyDescent="0.2">
      <c r="A79" s="742"/>
      <c r="B79" s="743"/>
      <c r="C79" s="743"/>
      <c r="D79" s="743"/>
      <c r="E79" s="743"/>
      <c r="F79" s="743"/>
      <c r="G79" s="743"/>
      <c r="H79" s="743"/>
      <c r="I79" s="743"/>
      <c r="J79" s="744"/>
    </row>
    <row r="80" spans="1:10" ht="12.75" customHeight="1" x14ac:dyDescent="0.2">
      <c r="A80" s="742"/>
      <c r="B80" s="743"/>
      <c r="C80" s="743"/>
      <c r="D80" s="743"/>
      <c r="E80" s="743"/>
      <c r="F80" s="743"/>
      <c r="G80" s="743"/>
      <c r="H80" s="743"/>
      <c r="I80" s="743"/>
      <c r="J80" s="744"/>
    </row>
    <row r="81" spans="1:10" ht="12.75" customHeight="1" x14ac:dyDescent="0.2">
      <c r="A81" s="742"/>
      <c r="B81" s="743"/>
      <c r="C81" s="743"/>
      <c r="D81" s="743"/>
      <c r="E81" s="743"/>
      <c r="F81" s="743"/>
      <c r="G81" s="743"/>
      <c r="H81" s="743"/>
      <c r="I81" s="743"/>
      <c r="J81" s="744"/>
    </row>
    <row r="82" spans="1:10" ht="12.75" customHeight="1" x14ac:dyDescent="0.2">
      <c r="A82" s="742"/>
      <c r="B82" s="743"/>
      <c r="C82" s="743"/>
      <c r="D82" s="743"/>
      <c r="E82" s="743"/>
      <c r="F82" s="743"/>
      <c r="G82" s="743"/>
      <c r="H82" s="743"/>
      <c r="I82" s="743"/>
      <c r="J82" s="744"/>
    </row>
    <row r="83" spans="1:10" ht="12.75" customHeight="1" x14ac:dyDescent="0.2">
      <c r="A83" s="742"/>
      <c r="B83" s="743"/>
      <c r="C83" s="743"/>
      <c r="D83" s="743"/>
      <c r="E83" s="743"/>
      <c r="F83" s="743"/>
      <c r="G83" s="743"/>
      <c r="H83" s="743"/>
      <c r="I83" s="743"/>
      <c r="J83" s="744"/>
    </row>
    <row r="84" spans="1:10" ht="12.75" customHeight="1" x14ac:dyDescent="0.2">
      <c r="A84" s="742"/>
      <c r="B84" s="743"/>
      <c r="C84" s="743"/>
      <c r="D84" s="743"/>
      <c r="E84" s="743"/>
      <c r="F84" s="743"/>
      <c r="G84" s="743"/>
      <c r="H84" s="743"/>
      <c r="I84" s="743"/>
      <c r="J84" s="744"/>
    </row>
    <row r="85" spans="1:10" s="61" customFormat="1" x14ac:dyDescent="0.2">
      <c r="A85" s="55"/>
      <c r="B85" s="56"/>
      <c r="C85" s="57"/>
      <c r="D85" s="58"/>
      <c r="E85" s="58"/>
      <c r="F85" s="58"/>
      <c r="G85" s="58"/>
      <c r="H85" s="59"/>
      <c r="I85" s="57"/>
      <c r="J85" s="60"/>
    </row>
    <row r="86" spans="1:10" s="61" customFormat="1" ht="25.5" customHeight="1" x14ac:dyDescent="0.2">
      <c r="A86" s="730" t="s">
        <v>180</v>
      </c>
      <c r="B86" s="731"/>
      <c r="C86" s="731"/>
      <c r="D86" s="731"/>
      <c r="E86" s="731"/>
      <c r="F86" s="731"/>
      <c r="G86" s="731"/>
      <c r="H86" s="731"/>
      <c r="I86" s="731"/>
      <c r="J86" s="732"/>
    </row>
    <row r="87" spans="1:10" s="61" customFormat="1" ht="12.75" customHeight="1" x14ac:dyDescent="0.2">
      <c r="A87" s="475" t="s">
        <v>178</v>
      </c>
      <c r="B87" s="476"/>
      <c r="C87" s="476"/>
      <c r="D87" s="476"/>
      <c r="E87" s="476"/>
      <c r="F87" s="746"/>
      <c r="G87" s="746"/>
      <c r="H87" s="746"/>
      <c r="I87" s="746"/>
      <c r="J87" s="747"/>
    </row>
    <row r="88" spans="1:10" ht="12.75" customHeight="1" x14ac:dyDescent="0.2">
      <c r="A88" s="721" t="s">
        <v>370</v>
      </c>
      <c r="B88" s="722"/>
      <c r="C88" s="722"/>
      <c r="D88" s="722"/>
      <c r="E88" s="722"/>
      <c r="F88" s="722"/>
      <c r="G88" s="722"/>
      <c r="H88" s="722"/>
      <c r="I88" s="722"/>
      <c r="J88" s="723"/>
    </row>
    <row r="89" spans="1:10" ht="12.75" customHeight="1" x14ac:dyDescent="0.2">
      <c r="A89" s="724"/>
      <c r="B89" s="725"/>
      <c r="C89" s="725"/>
      <c r="D89" s="725"/>
      <c r="E89" s="725"/>
      <c r="F89" s="725"/>
      <c r="G89" s="725"/>
      <c r="H89" s="725"/>
      <c r="I89" s="725"/>
      <c r="J89" s="726"/>
    </row>
    <row r="90" spans="1:10" ht="12.75" customHeight="1" x14ac:dyDescent="0.2">
      <c r="A90" s="724"/>
      <c r="B90" s="725"/>
      <c r="C90" s="725"/>
      <c r="D90" s="725"/>
      <c r="E90" s="725"/>
      <c r="F90" s="725"/>
      <c r="G90" s="725"/>
      <c r="H90" s="725"/>
      <c r="I90" s="725"/>
      <c r="J90" s="726"/>
    </row>
    <row r="91" spans="1:10" ht="15" customHeight="1" x14ac:dyDescent="0.2">
      <c r="A91" s="727"/>
      <c r="B91" s="728"/>
      <c r="C91" s="728"/>
      <c r="D91" s="728"/>
      <c r="E91" s="728"/>
      <c r="F91" s="728"/>
      <c r="G91" s="728"/>
      <c r="H91" s="728"/>
      <c r="I91" s="728"/>
      <c r="J91" s="729"/>
    </row>
    <row r="92" spans="1:10" ht="12.75" customHeight="1" x14ac:dyDescent="0.2">
      <c r="A92" s="742"/>
      <c r="B92" s="743"/>
      <c r="C92" s="743"/>
      <c r="D92" s="743"/>
      <c r="E92" s="743"/>
      <c r="F92" s="743"/>
      <c r="G92" s="743"/>
      <c r="H92" s="743"/>
      <c r="I92" s="743"/>
      <c r="J92" s="744"/>
    </row>
    <row r="93" spans="1:10" ht="12.75" customHeight="1" x14ac:dyDescent="0.2">
      <c r="A93" s="742"/>
      <c r="B93" s="743"/>
      <c r="C93" s="743"/>
      <c r="D93" s="743"/>
      <c r="E93" s="743"/>
      <c r="F93" s="743"/>
      <c r="G93" s="743"/>
      <c r="H93" s="743"/>
      <c r="I93" s="743"/>
      <c r="J93" s="744"/>
    </row>
    <row r="94" spans="1:10" ht="12.75" customHeight="1" x14ac:dyDescent="0.2">
      <c r="A94" s="742"/>
      <c r="B94" s="743"/>
      <c r="C94" s="743"/>
      <c r="D94" s="743"/>
      <c r="E94" s="743"/>
      <c r="F94" s="743"/>
      <c r="G94" s="743"/>
      <c r="H94" s="743"/>
      <c r="I94" s="743"/>
      <c r="J94" s="744"/>
    </row>
    <row r="95" spans="1:10" ht="12.75" customHeight="1" x14ac:dyDescent="0.2">
      <c r="A95" s="742"/>
      <c r="B95" s="743"/>
      <c r="C95" s="743"/>
      <c r="D95" s="743"/>
      <c r="E95" s="743"/>
      <c r="F95" s="743"/>
      <c r="G95" s="743"/>
      <c r="H95" s="743"/>
      <c r="I95" s="743"/>
      <c r="J95" s="744"/>
    </row>
    <row r="96" spans="1:10" ht="12.75" customHeight="1" x14ac:dyDescent="0.2">
      <c r="A96" s="742"/>
      <c r="B96" s="743"/>
      <c r="C96" s="743"/>
      <c r="D96" s="743"/>
      <c r="E96" s="743"/>
      <c r="F96" s="743"/>
      <c r="G96" s="743"/>
      <c r="H96" s="743"/>
      <c r="I96" s="743"/>
      <c r="J96" s="744"/>
    </row>
    <row r="97" spans="1:10" ht="12.75" customHeight="1" x14ac:dyDescent="0.2">
      <c r="A97" s="742"/>
      <c r="B97" s="743"/>
      <c r="C97" s="743"/>
      <c r="D97" s="743"/>
      <c r="E97" s="743"/>
      <c r="F97" s="743"/>
      <c r="G97" s="743"/>
      <c r="H97" s="743"/>
      <c r="I97" s="743"/>
      <c r="J97" s="744"/>
    </row>
    <row r="98" spans="1:10" ht="12.75" customHeight="1" x14ac:dyDescent="0.2">
      <c r="A98" s="742"/>
      <c r="B98" s="743"/>
      <c r="C98" s="743"/>
      <c r="D98" s="743"/>
      <c r="E98" s="743"/>
      <c r="F98" s="743"/>
      <c r="G98" s="743"/>
      <c r="H98" s="743"/>
      <c r="I98" s="743"/>
      <c r="J98" s="744"/>
    </row>
    <row r="99" spans="1:10" ht="12.75" customHeight="1" x14ac:dyDescent="0.2">
      <c r="A99" s="742"/>
      <c r="B99" s="743"/>
      <c r="C99" s="743"/>
      <c r="D99" s="743"/>
      <c r="E99" s="743"/>
      <c r="F99" s="743"/>
      <c r="G99" s="743"/>
      <c r="H99" s="743"/>
      <c r="I99" s="743"/>
      <c r="J99" s="744"/>
    </row>
    <row r="100" spans="1:10" ht="12.75" customHeight="1" x14ac:dyDescent="0.2">
      <c r="A100" s="742"/>
      <c r="B100" s="743"/>
      <c r="C100" s="743"/>
      <c r="D100" s="743"/>
      <c r="E100" s="743"/>
      <c r="F100" s="743"/>
      <c r="G100" s="743"/>
      <c r="H100" s="743"/>
      <c r="I100" s="743"/>
      <c r="J100" s="744"/>
    </row>
    <row r="101" spans="1:10" ht="12.75" customHeight="1" x14ac:dyDescent="0.2">
      <c r="A101" s="742"/>
      <c r="B101" s="743"/>
      <c r="C101" s="743"/>
      <c r="D101" s="743"/>
      <c r="E101" s="743"/>
      <c r="F101" s="743"/>
      <c r="G101" s="743"/>
      <c r="H101" s="743"/>
      <c r="I101" s="743"/>
      <c r="J101" s="744"/>
    </row>
    <row r="102" spans="1:10" ht="12.75" customHeight="1" x14ac:dyDescent="0.2">
      <c r="A102" s="742"/>
      <c r="B102" s="743"/>
      <c r="C102" s="743"/>
      <c r="D102" s="743"/>
      <c r="E102" s="743"/>
      <c r="F102" s="743"/>
      <c r="G102" s="743"/>
      <c r="H102" s="743"/>
      <c r="I102" s="743"/>
      <c r="J102" s="744"/>
    </row>
    <row r="103" spans="1:10" ht="12.75" customHeight="1" x14ac:dyDescent="0.2">
      <c r="A103" s="742"/>
      <c r="B103" s="743"/>
      <c r="C103" s="743"/>
      <c r="D103" s="743"/>
      <c r="E103" s="743"/>
      <c r="F103" s="743"/>
      <c r="G103" s="743"/>
      <c r="H103" s="743"/>
      <c r="I103" s="743"/>
      <c r="J103" s="744"/>
    </row>
    <row r="104" spans="1:10" ht="12.75" customHeight="1" x14ac:dyDescent="0.2">
      <c r="A104" s="742"/>
      <c r="B104" s="743"/>
      <c r="C104" s="743"/>
      <c r="D104" s="743"/>
      <c r="E104" s="743"/>
      <c r="F104" s="743"/>
      <c r="G104" s="743"/>
      <c r="H104" s="743"/>
      <c r="I104" s="743"/>
      <c r="J104" s="744"/>
    </row>
    <row r="105" spans="1:10" ht="12.75" customHeight="1" x14ac:dyDescent="0.2">
      <c r="A105" s="742"/>
      <c r="B105" s="743"/>
      <c r="C105" s="743"/>
      <c r="D105" s="743"/>
      <c r="E105" s="743"/>
      <c r="F105" s="743"/>
      <c r="G105" s="743"/>
      <c r="H105" s="743"/>
      <c r="I105" s="743"/>
      <c r="J105" s="744"/>
    </row>
    <row r="106" spans="1:10" ht="12.75" customHeight="1" x14ac:dyDescent="0.2">
      <c r="A106" s="742"/>
      <c r="B106" s="743"/>
      <c r="C106" s="743"/>
      <c r="D106" s="743"/>
      <c r="E106" s="743"/>
      <c r="F106" s="743"/>
      <c r="G106" s="743"/>
      <c r="H106" s="743"/>
      <c r="I106" s="743"/>
      <c r="J106" s="744"/>
    </row>
    <row r="107" spans="1:10" ht="12.75" customHeight="1" x14ac:dyDescent="0.2">
      <c r="A107" s="742"/>
      <c r="B107" s="743"/>
      <c r="C107" s="743"/>
      <c r="D107" s="743"/>
      <c r="E107" s="743"/>
      <c r="F107" s="743"/>
      <c r="G107" s="743"/>
      <c r="H107" s="743"/>
      <c r="I107" s="743"/>
      <c r="J107" s="744"/>
    </row>
    <row r="108" spans="1:10" ht="12.75" customHeight="1" x14ac:dyDescent="0.2">
      <c r="A108" s="742"/>
      <c r="B108" s="743"/>
      <c r="C108" s="743"/>
      <c r="D108" s="743"/>
      <c r="E108" s="743"/>
      <c r="F108" s="743"/>
      <c r="G108" s="743"/>
      <c r="H108" s="743"/>
      <c r="I108" s="743"/>
      <c r="J108" s="744"/>
    </row>
    <row r="109" spans="1:10" ht="12.75" customHeight="1" x14ac:dyDescent="0.2">
      <c r="A109" s="742"/>
      <c r="B109" s="743"/>
      <c r="C109" s="743"/>
      <c r="D109" s="743"/>
      <c r="E109" s="743"/>
      <c r="F109" s="743"/>
      <c r="G109" s="743"/>
      <c r="H109" s="743"/>
      <c r="I109" s="743"/>
      <c r="J109" s="744"/>
    </row>
    <row r="110" spans="1:10" ht="12.75" customHeight="1" x14ac:dyDescent="0.2">
      <c r="A110" s="742"/>
      <c r="B110" s="743"/>
      <c r="C110" s="743"/>
      <c r="D110" s="743"/>
      <c r="E110" s="743"/>
      <c r="F110" s="743"/>
      <c r="G110" s="743"/>
      <c r="H110" s="743"/>
      <c r="I110" s="743"/>
      <c r="J110" s="744"/>
    </row>
    <row r="111" spans="1:10" ht="12.75" customHeight="1" x14ac:dyDescent="0.2">
      <c r="A111" s="742"/>
      <c r="B111" s="743"/>
      <c r="C111" s="743"/>
      <c r="D111" s="743"/>
      <c r="E111" s="743"/>
      <c r="F111" s="743"/>
      <c r="G111" s="743"/>
      <c r="H111" s="743"/>
      <c r="I111" s="743"/>
      <c r="J111" s="744"/>
    </row>
    <row r="112" spans="1:10" ht="12.75" customHeight="1" x14ac:dyDescent="0.2">
      <c r="A112" s="742"/>
      <c r="B112" s="743"/>
      <c r="C112" s="743"/>
      <c r="D112" s="743"/>
      <c r="E112" s="743"/>
      <c r="F112" s="743"/>
      <c r="G112" s="743"/>
      <c r="H112" s="743"/>
      <c r="I112" s="743"/>
      <c r="J112" s="744"/>
    </row>
    <row r="113" spans="1:10" ht="12.75" customHeight="1" x14ac:dyDescent="0.2">
      <c r="A113" s="742"/>
      <c r="B113" s="743"/>
      <c r="C113" s="743"/>
      <c r="D113" s="743"/>
      <c r="E113" s="743"/>
      <c r="F113" s="743"/>
      <c r="G113" s="743"/>
      <c r="H113" s="743"/>
      <c r="I113" s="743"/>
      <c r="J113" s="744"/>
    </row>
    <row r="114" spans="1:10" ht="12.75" customHeight="1" x14ac:dyDescent="0.2">
      <c r="A114" s="742"/>
      <c r="B114" s="743"/>
      <c r="C114" s="743"/>
      <c r="D114" s="743"/>
      <c r="E114" s="743"/>
      <c r="F114" s="743"/>
      <c r="G114" s="743"/>
      <c r="H114" s="743"/>
      <c r="I114" s="743"/>
      <c r="J114" s="744"/>
    </row>
    <row r="115" spans="1:10" ht="12.75" customHeight="1" x14ac:dyDescent="0.2">
      <c r="A115" s="742"/>
      <c r="B115" s="743"/>
      <c r="C115" s="743"/>
      <c r="D115" s="743"/>
      <c r="E115" s="743"/>
      <c r="F115" s="743"/>
      <c r="G115" s="743"/>
      <c r="H115" s="743"/>
      <c r="I115" s="743"/>
      <c r="J115" s="744"/>
    </row>
    <row r="116" spans="1:10" ht="12.75" customHeight="1" x14ac:dyDescent="0.2">
      <c r="A116" s="742"/>
      <c r="B116" s="743"/>
      <c r="C116" s="743"/>
      <c r="D116" s="743"/>
      <c r="E116" s="743"/>
      <c r="F116" s="743"/>
      <c r="G116" s="743"/>
      <c r="H116" s="743"/>
      <c r="I116" s="743"/>
      <c r="J116" s="744"/>
    </row>
    <row r="117" spans="1:10" ht="12.75" customHeight="1" x14ac:dyDescent="0.2">
      <c r="A117" s="742"/>
      <c r="B117" s="743"/>
      <c r="C117" s="743"/>
      <c r="D117" s="743"/>
      <c r="E117" s="743"/>
      <c r="F117" s="743"/>
      <c r="G117" s="743"/>
      <c r="H117" s="743"/>
      <c r="I117" s="743"/>
      <c r="J117" s="744"/>
    </row>
    <row r="118" spans="1:10" ht="12.75" customHeight="1" x14ac:dyDescent="0.2">
      <c r="A118" s="742"/>
      <c r="B118" s="743"/>
      <c r="C118" s="743"/>
      <c r="D118" s="743"/>
      <c r="E118" s="743"/>
      <c r="F118" s="743"/>
      <c r="G118" s="743"/>
      <c r="H118" s="743"/>
      <c r="I118" s="743"/>
      <c r="J118" s="744"/>
    </row>
    <row r="119" spans="1:10" ht="12.75" customHeight="1" x14ac:dyDescent="0.2">
      <c r="A119" s="742"/>
      <c r="B119" s="743"/>
      <c r="C119" s="743"/>
      <c r="D119" s="743"/>
      <c r="E119" s="743"/>
      <c r="F119" s="743"/>
      <c r="G119" s="743"/>
      <c r="H119" s="743"/>
      <c r="I119" s="743"/>
      <c r="J119" s="744"/>
    </row>
    <row r="120" spans="1:10" ht="12.75" customHeight="1" x14ac:dyDescent="0.2">
      <c r="A120" s="742"/>
      <c r="B120" s="743"/>
      <c r="C120" s="743"/>
      <c r="D120" s="743"/>
      <c r="E120" s="743"/>
      <c r="F120" s="743"/>
      <c r="G120" s="743"/>
      <c r="H120" s="743"/>
      <c r="I120" s="743"/>
      <c r="J120" s="744"/>
    </row>
    <row r="121" spans="1:10" ht="12.75" customHeight="1" x14ac:dyDescent="0.2">
      <c r="A121" s="742"/>
      <c r="B121" s="743"/>
      <c r="C121" s="743"/>
      <c r="D121" s="743"/>
      <c r="E121" s="743"/>
      <c r="F121" s="743"/>
      <c r="G121" s="743"/>
      <c r="H121" s="743"/>
      <c r="I121" s="743"/>
      <c r="J121" s="744"/>
    </row>
    <row r="122" spans="1:10" ht="12.75" customHeight="1" x14ac:dyDescent="0.2">
      <c r="A122" s="742"/>
      <c r="B122" s="743"/>
      <c r="C122" s="743"/>
      <c r="D122" s="743"/>
      <c r="E122" s="743"/>
      <c r="F122" s="743"/>
      <c r="G122" s="743"/>
      <c r="H122" s="743"/>
      <c r="I122" s="743"/>
      <c r="J122" s="744"/>
    </row>
    <row r="123" spans="1:10" ht="12.75" customHeight="1" x14ac:dyDescent="0.2">
      <c r="A123" s="742"/>
      <c r="B123" s="743"/>
      <c r="C123" s="743"/>
      <c r="D123" s="743"/>
      <c r="E123" s="743"/>
      <c r="F123" s="743"/>
      <c r="G123" s="743"/>
      <c r="H123" s="743"/>
      <c r="I123" s="743"/>
      <c r="J123" s="744"/>
    </row>
    <row r="124" spans="1:10" ht="12.75" customHeight="1" x14ac:dyDescent="0.2">
      <c r="A124" s="742"/>
      <c r="B124" s="743"/>
      <c r="C124" s="743"/>
      <c r="D124" s="743"/>
      <c r="E124" s="743"/>
      <c r="F124" s="743"/>
      <c r="G124" s="743"/>
      <c r="H124" s="743"/>
      <c r="I124" s="743"/>
      <c r="J124" s="744"/>
    </row>
    <row r="125" spans="1:10" ht="12.75" customHeight="1" x14ac:dyDescent="0.2">
      <c r="A125" s="742"/>
      <c r="B125" s="743"/>
      <c r="C125" s="743"/>
      <c r="D125" s="743"/>
      <c r="E125" s="743"/>
      <c r="F125" s="743"/>
      <c r="G125" s="743"/>
      <c r="H125" s="743"/>
      <c r="I125" s="743"/>
      <c r="J125" s="744"/>
    </row>
    <row r="126" spans="1:10" ht="12.75" customHeight="1" x14ac:dyDescent="0.2">
      <c r="A126" s="742"/>
      <c r="B126" s="743"/>
      <c r="C126" s="743"/>
      <c r="D126" s="743"/>
      <c r="E126" s="743"/>
      <c r="F126" s="743"/>
      <c r="G126" s="743"/>
      <c r="H126" s="743"/>
      <c r="I126" s="743"/>
      <c r="J126" s="744"/>
    </row>
    <row r="127" spans="1:10" s="61" customFormat="1" x14ac:dyDescent="0.2">
      <c r="A127" s="55"/>
      <c r="B127" s="56"/>
      <c r="C127" s="57"/>
      <c r="D127" s="58"/>
      <c r="E127" s="58"/>
      <c r="F127" s="58"/>
      <c r="G127" s="58"/>
      <c r="H127" s="59"/>
      <c r="I127" s="57"/>
      <c r="J127" s="60"/>
    </row>
    <row r="128" spans="1:10" s="61" customFormat="1" ht="25.5" customHeight="1" x14ac:dyDescent="0.2">
      <c r="A128" s="730" t="s">
        <v>179</v>
      </c>
      <c r="B128" s="731"/>
      <c r="C128" s="731"/>
      <c r="D128" s="731"/>
      <c r="E128" s="731"/>
      <c r="F128" s="731"/>
      <c r="G128" s="731"/>
      <c r="H128" s="731"/>
      <c r="I128" s="731"/>
      <c r="J128" s="732"/>
    </row>
    <row r="129" spans="1:10" s="61" customFormat="1" ht="12.75" customHeight="1" x14ac:dyDescent="0.2">
      <c r="A129" s="475" t="s">
        <v>178</v>
      </c>
      <c r="B129" s="476"/>
      <c r="C129" s="476"/>
      <c r="D129" s="476"/>
      <c r="E129" s="476"/>
      <c r="F129" s="746">
        <v>0.13</v>
      </c>
      <c r="G129" s="746"/>
      <c r="H129" s="746"/>
      <c r="I129" s="746"/>
      <c r="J129" s="747"/>
    </row>
    <row r="130" spans="1:10" ht="12.75" customHeight="1" x14ac:dyDescent="0.2">
      <c r="A130" s="721" t="s">
        <v>370</v>
      </c>
      <c r="B130" s="722"/>
      <c r="C130" s="722"/>
      <c r="D130" s="722"/>
      <c r="E130" s="722"/>
      <c r="F130" s="722"/>
      <c r="G130" s="722"/>
      <c r="H130" s="722"/>
      <c r="I130" s="722"/>
      <c r="J130" s="723"/>
    </row>
    <row r="131" spans="1:10" ht="12.75" customHeight="1" x14ac:dyDescent="0.2">
      <c r="A131" s="724"/>
      <c r="B131" s="725"/>
      <c r="C131" s="725"/>
      <c r="D131" s="725"/>
      <c r="E131" s="725"/>
      <c r="F131" s="725"/>
      <c r="G131" s="725"/>
      <c r="H131" s="725"/>
      <c r="I131" s="725"/>
      <c r="J131" s="726"/>
    </row>
    <row r="132" spans="1:10" ht="12.75" customHeight="1" x14ac:dyDescent="0.2">
      <c r="A132" s="724"/>
      <c r="B132" s="725"/>
      <c r="C132" s="725"/>
      <c r="D132" s="725"/>
      <c r="E132" s="725"/>
      <c r="F132" s="725"/>
      <c r="G132" s="725"/>
      <c r="H132" s="725"/>
      <c r="I132" s="725"/>
      <c r="J132" s="726"/>
    </row>
    <row r="133" spans="1:10" ht="15" customHeight="1" x14ac:dyDescent="0.2">
      <c r="A133" s="727"/>
      <c r="B133" s="728"/>
      <c r="C133" s="728"/>
      <c r="D133" s="728"/>
      <c r="E133" s="728"/>
      <c r="F133" s="728"/>
      <c r="G133" s="728"/>
      <c r="H133" s="728"/>
      <c r="I133" s="728"/>
      <c r="J133" s="729"/>
    </row>
    <row r="134" spans="1:10" ht="12.75" customHeight="1" x14ac:dyDescent="0.2">
      <c r="A134" s="742" t="s">
        <v>1140</v>
      </c>
      <c r="B134" s="743"/>
      <c r="C134" s="743"/>
      <c r="D134" s="743"/>
      <c r="E134" s="743"/>
      <c r="F134" s="743"/>
      <c r="G134" s="743"/>
      <c r="H134" s="743"/>
      <c r="I134" s="743"/>
      <c r="J134" s="744"/>
    </row>
    <row r="135" spans="1:10" ht="12.75" customHeight="1" x14ac:dyDescent="0.2">
      <c r="A135" s="742"/>
      <c r="B135" s="743"/>
      <c r="C135" s="743"/>
      <c r="D135" s="743"/>
      <c r="E135" s="743"/>
      <c r="F135" s="743"/>
      <c r="G135" s="743"/>
      <c r="H135" s="743"/>
      <c r="I135" s="743"/>
      <c r="J135" s="744"/>
    </row>
    <row r="136" spans="1:10" ht="12.75" customHeight="1" x14ac:dyDescent="0.2">
      <c r="A136" s="742"/>
      <c r="B136" s="743"/>
      <c r="C136" s="743"/>
      <c r="D136" s="743"/>
      <c r="E136" s="743"/>
      <c r="F136" s="743"/>
      <c r="G136" s="743"/>
      <c r="H136" s="743"/>
      <c r="I136" s="743"/>
      <c r="J136" s="744"/>
    </row>
    <row r="137" spans="1:10" ht="12.75" customHeight="1" x14ac:dyDescent="0.2">
      <c r="A137" s="742"/>
      <c r="B137" s="743"/>
      <c r="C137" s="743"/>
      <c r="D137" s="743"/>
      <c r="E137" s="743"/>
      <c r="F137" s="743"/>
      <c r="G137" s="743"/>
      <c r="H137" s="743"/>
      <c r="I137" s="743"/>
      <c r="J137" s="744"/>
    </row>
    <row r="138" spans="1:10" ht="12.75" customHeight="1" x14ac:dyDescent="0.2">
      <c r="A138" s="742"/>
      <c r="B138" s="743"/>
      <c r="C138" s="743"/>
      <c r="D138" s="743"/>
      <c r="E138" s="743"/>
      <c r="F138" s="743"/>
      <c r="G138" s="743"/>
      <c r="H138" s="743"/>
      <c r="I138" s="743"/>
      <c r="J138" s="744"/>
    </row>
    <row r="139" spans="1:10" ht="12.75" customHeight="1" x14ac:dyDescent="0.2">
      <c r="A139" s="742"/>
      <c r="B139" s="743"/>
      <c r="C139" s="743"/>
      <c r="D139" s="743"/>
      <c r="E139" s="743"/>
      <c r="F139" s="743"/>
      <c r="G139" s="743"/>
      <c r="H139" s="743"/>
      <c r="I139" s="743"/>
      <c r="J139" s="744"/>
    </row>
    <row r="140" spans="1:10" ht="12.75" customHeight="1" x14ac:dyDescent="0.2">
      <c r="A140" s="742"/>
      <c r="B140" s="743"/>
      <c r="C140" s="743"/>
      <c r="D140" s="743"/>
      <c r="E140" s="743"/>
      <c r="F140" s="743"/>
      <c r="G140" s="743"/>
      <c r="H140" s="743"/>
      <c r="I140" s="743"/>
      <c r="J140" s="744"/>
    </row>
    <row r="141" spans="1:10" ht="12.75" customHeight="1" x14ac:dyDescent="0.2">
      <c r="A141" s="742"/>
      <c r="B141" s="743"/>
      <c r="C141" s="743"/>
      <c r="D141" s="743"/>
      <c r="E141" s="743"/>
      <c r="F141" s="743"/>
      <c r="G141" s="743"/>
      <c r="H141" s="743"/>
      <c r="I141" s="743"/>
      <c r="J141" s="744"/>
    </row>
    <row r="142" spans="1:10" ht="12.75" customHeight="1" x14ac:dyDescent="0.2">
      <c r="A142" s="742"/>
      <c r="B142" s="743"/>
      <c r="C142" s="743"/>
      <c r="D142" s="743"/>
      <c r="E142" s="743"/>
      <c r="F142" s="743"/>
      <c r="G142" s="743"/>
      <c r="H142" s="743"/>
      <c r="I142" s="743"/>
      <c r="J142" s="744"/>
    </row>
    <row r="143" spans="1:10" ht="12.75" customHeight="1" x14ac:dyDescent="0.2">
      <c r="A143" s="742"/>
      <c r="B143" s="743"/>
      <c r="C143" s="743"/>
      <c r="D143" s="743"/>
      <c r="E143" s="743"/>
      <c r="F143" s="743"/>
      <c r="G143" s="743"/>
      <c r="H143" s="743"/>
      <c r="I143" s="743"/>
      <c r="J143" s="744"/>
    </row>
    <row r="144" spans="1:10" ht="12.75" customHeight="1" x14ac:dyDescent="0.2">
      <c r="A144" s="742"/>
      <c r="B144" s="743"/>
      <c r="C144" s="743"/>
      <c r="D144" s="743"/>
      <c r="E144" s="743"/>
      <c r="F144" s="743"/>
      <c r="G144" s="743"/>
      <c r="H144" s="743"/>
      <c r="I144" s="743"/>
      <c r="J144" s="744"/>
    </row>
    <row r="145" spans="1:10" ht="12.75" customHeight="1" x14ac:dyDescent="0.2">
      <c r="A145" s="742"/>
      <c r="B145" s="743"/>
      <c r="C145" s="743"/>
      <c r="D145" s="743"/>
      <c r="E145" s="743"/>
      <c r="F145" s="743"/>
      <c r="G145" s="743"/>
      <c r="H145" s="743"/>
      <c r="I145" s="743"/>
      <c r="J145" s="744"/>
    </row>
    <row r="146" spans="1:10" ht="12.75" customHeight="1" x14ac:dyDescent="0.2">
      <c r="A146" s="742"/>
      <c r="B146" s="743"/>
      <c r="C146" s="743"/>
      <c r="D146" s="743"/>
      <c r="E146" s="743"/>
      <c r="F146" s="743"/>
      <c r="G146" s="743"/>
      <c r="H146" s="743"/>
      <c r="I146" s="743"/>
      <c r="J146" s="744"/>
    </row>
    <row r="147" spans="1:10" ht="12.75" customHeight="1" x14ac:dyDescent="0.2">
      <c r="A147" s="742"/>
      <c r="B147" s="743"/>
      <c r="C147" s="743"/>
      <c r="D147" s="743"/>
      <c r="E147" s="743"/>
      <c r="F147" s="743"/>
      <c r="G147" s="743"/>
      <c r="H147" s="743"/>
      <c r="I147" s="743"/>
      <c r="J147" s="744"/>
    </row>
    <row r="148" spans="1:10" ht="12.75" customHeight="1" x14ac:dyDescent="0.2">
      <c r="A148" s="742"/>
      <c r="B148" s="743"/>
      <c r="C148" s="743"/>
      <c r="D148" s="743"/>
      <c r="E148" s="743"/>
      <c r="F148" s="743"/>
      <c r="G148" s="743"/>
      <c r="H148" s="743"/>
      <c r="I148" s="743"/>
      <c r="J148" s="744"/>
    </row>
    <row r="149" spans="1:10" ht="12.75" customHeight="1" x14ac:dyDescent="0.2">
      <c r="A149" s="742"/>
      <c r="B149" s="743"/>
      <c r="C149" s="743"/>
      <c r="D149" s="743"/>
      <c r="E149" s="743"/>
      <c r="F149" s="743"/>
      <c r="G149" s="743"/>
      <c r="H149" s="743"/>
      <c r="I149" s="743"/>
      <c r="J149" s="744"/>
    </row>
    <row r="150" spans="1:10" ht="12.75" customHeight="1" x14ac:dyDescent="0.2">
      <c r="A150" s="742"/>
      <c r="B150" s="743"/>
      <c r="C150" s="743"/>
      <c r="D150" s="743"/>
      <c r="E150" s="743"/>
      <c r="F150" s="743"/>
      <c r="G150" s="743"/>
      <c r="H150" s="743"/>
      <c r="I150" s="743"/>
      <c r="J150" s="744"/>
    </row>
    <row r="151" spans="1:10" ht="12.75" customHeight="1" x14ac:dyDescent="0.2">
      <c r="A151" s="742"/>
      <c r="B151" s="743"/>
      <c r="C151" s="743"/>
      <c r="D151" s="743"/>
      <c r="E151" s="743"/>
      <c r="F151" s="743"/>
      <c r="G151" s="743"/>
      <c r="H151" s="743"/>
      <c r="I151" s="743"/>
      <c r="J151" s="744"/>
    </row>
    <row r="152" spans="1:10" ht="12.75" customHeight="1" x14ac:dyDescent="0.2">
      <c r="A152" s="742"/>
      <c r="B152" s="743"/>
      <c r="C152" s="743"/>
      <c r="D152" s="743"/>
      <c r="E152" s="743"/>
      <c r="F152" s="743"/>
      <c r="G152" s="743"/>
      <c r="H152" s="743"/>
      <c r="I152" s="743"/>
      <c r="J152" s="744"/>
    </row>
    <row r="153" spans="1:10" ht="12.75" customHeight="1" x14ac:dyDescent="0.2">
      <c r="A153" s="742"/>
      <c r="B153" s="743"/>
      <c r="C153" s="743"/>
      <c r="D153" s="743"/>
      <c r="E153" s="743"/>
      <c r="F153" s="743"/>
      <c r="G153" s="743"/>
      <c r="H153" s="743"/>
      <c r="I153" s="743"/>
      <c r="J153" s="744"/>
    </row>
    <row r="154" spans="1:10" ht="12.75" customHeight="1" x14ac:dyDescent="0.2">
      <c r="A154" s="742"/>
      <c r="B154" s="743"/>
      <c r="C154" s="743"/>
      <c r="D154" s="743"/>
      <c r="E154" s="743"/>
      <c r="F154" s="743"/>
      <c r="G154" s="743"/>
      <c r="H154" s="743"/>
      <c r="I154" s="743"/>
      <c r="J154" s="744"/>
    </row>
    <row r="155" spans="1:10" ht="12.75" customHeight="1" x14ac:dyDescent="0.2">
      <c r="A155" s="742"/>
      <c r="B155" s="743"/>
      <c r="C155" s="743"/>
      <c r="D155" s="743"/>
      <c r="E155" s="743"/>
      <c r="F155" s="743"/>
      <c r="G155" s="743"/>
      <c r="H155" s="743"/>
      <c r="I155" s="743"/>
      <c r="J155" s="744"/>
    </row>
    <row r="156" spans="1:10" ht="12.75" customHeight="1" x14ac:dyDescent="0.2">
      <c r="A156" s="742"/>
      <c r="B156" s="743"/>
      <c r="C156" s="743"/>
      <c r="D156" s="743"/>
      <c r="E156" s="743"/>
      <c r="F156" s="743"/>
      <c r="G156" s="743"/>
      <c r="H156" s="743"/>
      <c r="I156" s="743"/>
      <c r="J156" s="744"/>
    </row>
    <row r="157" spans="1:10" ht="12.75" customHeight="1" x14ac:dyDescent="0.2">
      <c r="A157" s="742"/>
      <c r="B157" s="743"/>
      <c r="C157" s="743"/>
      <c r="D157" s="743"/>
      <c r="E157" s="743"/>
      <c r="F157" s="743"/>
      <c r="G157" s="743"/>
      <c r="H157" s="743"/>
      <c r="I157" s="743"/>
      <c r="J157" s="744"/>
    </row>
    <row r="158" spans="1:10" ht="12.75" customHeight="1" x14ac:dyDescent="0.2">
      <c r="A158" s="742"/>
      <c r="B158" s="743"/>
      <c r="C158" s="743"/>
      <c r="D158" s="743"/>
      <c r="E158" s="743"/>
      <c r="F158" s="743"/>
      <c r="G158" s="743"/>
      <c r="H158" s="743"/>
      <c r="I158" s="743"/>
      <c r="J158" s="744"/>
    </row>
    <row r="159" spans="1:10" ht="12.75" customHeight="1" x14ac:dyDescent="0.2">
      <c r="A159" s="742"/>
      <c r="B159" s="743"/>
      <c r="C159" s="743"/>
      <c r="D159" s="743"/>
      <c r="E159" s="743"/>
      <c r="F159" s="743"/>
      <c r="G159" s="743"/>
      <c r="H159" s="743"/>
      <c r="I159" s="743"/>
      <c r="J159" s="744"/>
    </row>
    <row r="160" spans="1:10" ht="12.75" customHeight="1" x14ac:dyDescent="0.2">
      <c r="A160" s="742"/>
      <c r="B160" s="743"/>
      <c r="C160" s="743"/>
      <c r="D160" s="743"/>
      <c r="E160" s="743"/>
      <c r="F160" s="743"/>
      <c r="G160" s="743"/>
      <c r="H160" s="743"/>
      <c r="I160" s="743"/>
      <c r="J160" s="744"/>
    </row>
    <row r="161" spans="1:10" ht="12.75" customHeight="1" x14ac:dyDescent="0.2">
      <c r="A161" s="742"/>
      <c r="B161" s="743"/>
      <c r="C161" s="743"/>
      <c r="D161" s="743"/>
      <c r="E161" s="743"/>
      <c r="F161" s="743"/>
      <c r="G161" s="743"/>
      <c r="H161" s="743"/>
      <c r="I161" s="743"/>
      <c r="J161" s="744"/>
    </row>
    <row r="162" spans="1:10" ht="12.75" customHeight="1" x14ac:dyDescent="0.2">
      <c r="A162" s="742"/>
      <c r="B162" s="743"/>
      <c r="C162" s="743"/>
      <c r="D162" s="743"/>
      <c r="E162" s="743"/>
      <c r="F162" s="743"/>
      <c r="G162" s="743"/>
      <c r="H162" s="743"/>
      <c r="I162" s="743"/>
      <c r="J162" s="744"/>
    </row>
    <row r="163" spans="1:10" ht="12.75" customHeight="1" x14ac:dyDescent="0.2">
      <c r="A163" s="742"/>
      <c r="B163" s="743"/>
      <c r="C163" s="743"/>
      <c r="D163" s="743"/>
      <c r="E163" s="743"/>
      <c r="F163" s="743"/>
      <c r="G163" s="743"/>
      <c r="H163" s="743"/>
      <c r="I163" s="743"/>
      <c r="J163" s="744"/>
    </row>
    <row r="164" spans="1:10" ht="12.75" customHeight="1" x14ac:dyDescent="0.2">
      <c r="A164" s="742"/>
      <c r="B164" s="743"/>
      <c r="C164" s="743"/>
      <c r="D164" s="743"/>
      <c r="E164" s="743"/>
      <c r="F164" s="743"/>
      <c r="G164" s="743"/>
      <c r="H164" s="743"/>
      <c r="I164" s="743"/>
      <c r="J164" s="744"/>
    </row>
    <row r="165" spans="1:10" ht="12.75" customHeight="1" x14ac:dyDescent="0.2">
      <c r="A165" s="742"/>
      <c r="B165" s="743"/>
      <c r="C165" s="743"/>
      <c r="D165" s="743"/>
      <c r="E165" s="743"/>
      <c r="F165" s="743"/>
      <c r="G165" s="743"/>
      <c r="H165" s="743"/>
      <c r="I165" s="743"/>
      <c r="J165" s="744"/>
    </row>
    <row r="166" spans="1:10" ht="12.75" customHeight="1" x14ac:dyDescent="0.2">
      <c r="A166" s="742"/>
      <c r="B166" s="743"/>
      <c r="C166" s="743"/>
      <c r="D166" s="743"/>
      <c r="E166" s="743"/>
      <c r="F166" s="743"/>
      <c r="G166" s="743"/>
      <c r="H166" s="743"/>
      <c r="I166" s="743"/>
      <c r="J166" s="744"/>
    </row>
    <row r="167" spans="1:10" ht="12.75" customHeight="1" x14ac:dyDescent="0.2">
      <c r="A167" s="742"/>
      <c r="B167" s="743"/>
      <c r="C167" s="743"/>
      <c r="D167" s="743"/>
      <c r="E167" s="743"/>
      <c r="F167" s="743"/>
      <c r="G167" s="743"/>
      <c r="H167" s="743"/>
      <c r="I167" s="743"/>
      <c r="J167" s="744"/>
    </row>
    <row r="168" spans="1:10" ht="12.75" customHeight="1" x14ac:dyDescent="0.2">
      <c r="A168" s="742"/>
      <c r="B168" s="743"/>
      <c r="C168" s="743"/>
      <c r="D168" s="743"/>
      <c r="E168" s="743"/>
      <c r="F168" s="743"/>
      <c r="G168" s="743"/>
      <c r="H168" s="743"/>
      <c r="I168" s="743"/>
      <c r="J168" s="744"/>
    </row>
    <row r="169" spans="1:10" s="61" customFormat="1" x14ac:dyDescent="0.2">
      <c r="A169" s="55"/>
      <c r="B169" s="56"/>
      <c r="C169" s="57"/>
      <c r="D169" s="58"/>
      <c r="E169" s="58"/>
      <c r="F169" s="58"/>
      <c r="G169" s="58"/>
      <c r="H169" s="59"/>
      <c r="I169" s="57"/>
      <c r="J169" s="60"/>
    </row>
    <row r="170" spans="1:10" s="61" customFormat="1" ht="25.5" customHeight="1" x14ac:dyDescent="0.2">
      <c r="A170" s="730" t="s">
        <v>181</v>
      </c>
      <c r="B170" s="731"/>
      <c r="C170" s="731"/>
      <c r="D170" s="731"/>
      <c r="E170" s="731"/>
      <c r="F170" s="731"/>
      <c r="G170" s="731"/>
      <c r="H170" s="731"/>
      <c r="I170" s="731"/>
      <c r="J170" s="732"/>
    </row>
    <row r="171" spans="1:10" s="61" customFormat="1" ht="12.75" customHeight="1" x14ac:dyDescent="0.2">
      <c r="A171" s="475" t="s">
        <v>178</v>
      </c>
      <c r="B171" s="476"/>
      <c r="C171" s="476"/>
      <c r="D171" s="476"/>
      <c r="E171" s="476"/>
      <c r="F171" s="746">
        <v>0.08</v>
      </c>
      <c r="G171" s="746"/>
      <c r="H171" s="746"/>
      <c r="I171" s="746"/>
      <c r="J171" s="747"/>
    </row>
    <row r="172" spans="1:10" ht="12.75" customHeight="1" x14ac:dyDescent="0.2">
      <c r="A172" s="721" t="s">
        <v>370</v>
      </c>
      <c r="B172" s="722"/>
      <c r="C172" s="722"/>
      <c r="D172" s="722"/>
      <c r="E172" s="722"/>
      <c r="F172" s="722"/>
      <c r="G172" s="722"/>
      <c r="H172" s="722"/>
      <c r="I172" s="722"/>
      <c r="J172" s="723"/>
    </row>
    <row r="173" spans="1:10" ht="12.75" customHeight="1" x14ac:dyDescent="0.2">
      <c r="A173" s="724"/>
      <c r="B173" s="725"/>
      <c r="C173" s="725"/>
      <c r="D173" s="725"/>
      <c r="E173" s="725"/>
      <c r="F173" s="725"/>
      <c r="G173" s="725"/>
      <c r="H173" s="725"/>
      <c r="I173" s="725"/>
      <c r="J173" s="726"/>
    </row>
    <row r="174" spans="1:10" ht="12.75" customHeight="1" x14ac:dyDescent="0.2">
      <c r="A174" s="724"/>
      <c r="B174" s="725"/>
      <c r="C174" s="725"/>
      <c r="D174" s="725"/>
      <c r="E174" s="725"/>
      <c r="F174" s="725"/>
      <c r="G174" s="725"/>
      <c r="H174" s="725"/>
      <c r="I174" s="725"/>
      <c r="J174" s="726"/>
    </row>
    <row r="175" spans="1:10" ht="15" customHeight="1" x14ac:dyDescent="0.2">
      <c r="A175" s="727"/>
      <c r="B175" s="728"/>
      <c r="C175" s="728"/>
      <c r="D175" s="728"/>
      <c r="E175" s="728"/>
      <c r="F175" s="728"/>
      <c r="G175" s="728"/>
      <c r="H175" s="728"/>
      <c r="I175" s="728"/>
      <c r="J175" s="729"/>
    </row>
    <row r="176" spans="1:10" ht="12.75" customHeight="1" x14ac:dyDescent="0.2">
      <c r="A176" s="742" t="s">
        <v>1108</v>
      </c>
      <c r="B176" s="743"/>
      <c r="C176" s="743"/>
      <c r="D176" s="743"/>
      <c r="E176" s="743"/>
      <c r="F176" s="743"/>
      <c r="G176" s="743"/>
      <c r="H176" s="743"/>
      <c r="I176" s="743"/>
      <c r="J176" s="744"/>
    </row>
    <row r="177" spans="1:10" ht="12.75" customHeight="1" x14ac:dyDescent="0.2">
      <c r="A177" s="742"/>
      <c r="B177" s="743"/>
      <c r="C177" s="743"/>
      <c r="D177" s="743"/>
      <c r="E177" s="743"/>
      <c r="F177" s="743"/>
      <c r="G177" s="743"/>
      <c r="H177" s="743"/>
      <c r="I177" s="743"/>
      <c r="J177" s="744"/>
    </row>
    <row r="178" spans="1:10" ht="12.75" customHeight="1" x14ac:dyDescent="0.2">
      <c r="A178" s="742"/>
      <c r="B178" s="743"/>
      <c r="C178" s="743"/>
      <c r="D178" s="743"/>
      <c r="E178" s="743"/>
      <c r="F178" s="743"/>
      <c r="G178" s="743"/>
      <c r="H178" s="743"/>
      <c r="I178" s="743"/>
      <c r="J178" s="744"/>
    </row>
    <row r="179" spans="1:10" ht="12.75" customHeight="1" x14ac:dyDescent="0.2">
      <c r="A179" s="742"/>
      <c r="B179" s="743"/>
      <c r="C179" s="743"/>
      <c r="D179" s="743"/>
      <c r="E179" s="743"/>
      <c r="F179" s="743"/>
      <c r="G179" s="743"/>
      <c r="H179" s="743"/>
      <c r="I179" s="743"/>
      <c r="J179" s="744"/>
    </row>
    <row r="180" spans="1:10" ht="12.75" customHeight="1" x14ac:dyDescent="0.2">
      <c r="A180" s="742"/>
      <c r="B180" s="743"/>
      <c r="C180" s="743"/>
      <c r="D180" s="743"/>
      <c r="E180" s="743"/>
      <c r="F180" s="743"/>
      <c r="G180" s="743"/>
      <c r="H180" s="743"/>
      <c r="I180" s="743"/>
      <c r="J180" s="744"/>
    </row>
    <row r="181" spans="1:10" ht="12.75" customHeight="1" x14ac:dyDescent="0.2">
      <c r="A181" s="742"/>
      <c r="B181" s="743"/>
      <c r="C181" s="743"/>
      <c r="D181" s="743"/>
      <c r="E181" s="743"/>
      <c r="F181" s="743"/>
      <c r="G181" s="743"/>
      <c r="H181" s="743"/>
      <c r="I181" s="743"/>
      <c r="J181" s="744"/>
    </row>
    <row r="182" spans="1:10" ht="12.75" customHeight="1" x14ac:dyDescent="0.2">
      <c r="A182" s="742"/>
      <c r="B182" s="743"/>
      <c r="C182" s="743"/>
      <c r="D182" s="743"/>
      <c r="E182" s="743"/>
      <c r="F182" s="743"/>
      <c r="G182" s="743"/>
      <c r="H182" s="743"/>
      <c r="I182" s="743"/>
      <c r="J182" s="744"/>
    </row>
    <row r="183" spans="1:10" ht="12.75" customHeight="1" x14ac:dyDescent="0.2">
      <c r="A183" s="742"/>
      <c r="B183" s="743"/>
      <c r="C183" s="743"/>
      <c r="D183" s="743"/>
      <c r="E183" s="743"/>
      <c r="F183" s="743"/>
      <c r="G183" s="743"/>
      <c r="H183" s="743"/>
      <c r="I183" s="743"/>
      <c r="J183" s="744"/>
    </row>
    <row r="184" spans="1:10" ht="12.75" customHeight="1" x14ac:dyDescent="0.2">
      <c r="A184" s="742"/>
      <c r="B184" s="743"/>
      <c r="C184" s="743"/>
      <c r="D184" s="743"/>
      <c r="E184" s="743"/>
      <c r="F184" s="743"/>
      <c r="G184" s="743"/>
      <c r="H184" s="743"/>
      <c r="I184" s="743"/>
      <c r="J184" s="744"/>
    </row>
    <row r="185" spans="1:10" ht="12.75" customHeight="1" x14ac:dyDescent="0.2">
      <c r="A185" s="742"/>
      <c r="B185" s="743"/>
      <c r="C185" s="743"/>
      <c r="D185" s="743"/>
      <c r="E185" s="743"/>
      <c r="F185" s="743"/>
      <c r="G185" s="743"/>
      <c r="H185" s="743"/>
      <c r="I185" s="743"/>
      <c r="J185" s="744"/>
    </row>
    <row r="186" spans="1:10" ht="12.75" customHeight="1" x14ac:dyDescent="0.2">
      <c r="A186" s="742"/>
      <c r="B186" s="743"/>
      <c r="C186" s="743"/>
      <c r="D186" s="743"/>
      <c r="E186" s="743"/>
      <c r="F186" s="743"/>
      <c r="G186" s="743"/>
      <c r="H186" s="743"/>
      <c r="I186" s="743"/>
      <c r="J186" s="744"/>
    </row>
    <row r="187" spans="1:10" ht="12.75" customHeight="1" x14ac:dyDescent="0.2">
      <c r="A187" s="742"/>
      <c r="B187" s="743"/>
      <c r="C187" s="743"/>
      <c r="D187" s="743"/>
      <c r="E187" s="743"/>
      <c r="F187" s="743"/>
      <c r="G187" s="743"/>
      <c r="H187" s="743"/>
      <c r="I187" s="743"/>
      <c r="J187" s="744"/>
    </row>
    <row r="188" spans="1:10" ht="12.75" customHeight="1" x14ac:dyDescent="0.2">
      <c r="A188" s="742"/>
      <c r="B188" s="743"/>
      <c r="C188" s="743"/>
      <c r="D188" s="743"/>
      <c r="E188" s="743"/>
      <c r="F188" s="743"/>
      <c r="G188" s="743"/>
      <c r="H188" s="743"/>
      <c r="I188" s="743"/>
      <c r="J188" s="744"/>
    </row>
    <row r="189" spans="1:10" ht="12.75" customHeight="1" x14ac:dyDescent="0.2">
      <c r="A189" s="742"/>
      <c r="B189" s="743"/>
      <c r="C189" s="743"/>
      <c r="D189" s="743"/>
      <c r="E189" s="743"/>
      <c r="F189" s="743"/>
      <c r="G189" s="743"/>
      <c r="H189" s="743"/>
      <c r="I189" s="743"/>
      <c r="J189" s="744"/>
    </row>
    <row r="190" spans="1:10" ht="12.75" customHeight="1" x14ac:dyDescent="0.2">
      <c r="A190" s="742"/>
      <c r="B190" s="743"/>
      <c r="C190" s="743"/>
      <c r="D190" s="743"/>
      <c r="E190" s="743"/>
      <c r="F190" s="743"/>
      <c r="G190" s="743"/>
      <c r="H190" s="743"/>
      <c r="I190" s="743"/>
      <c r="J190" s="744"/>
    </row>
    <row r="191" spans="1:10" ht="12.75" customHeight="1" x14ac:dyDescent="0.2">
      <c r="A191" s="742"/>
      <c r="B191" s="743"/>
      <c r="C191" s="743"/>
      <c r="D191" s="743"/>
      <c r="E191" s="743"/>
      <c r="F191" s="743"/>
      <c r="G191" s="743"/>
      <c r="H191" s="743"/>
      <c r="I191" s="743"/>
      <c r="J191" s="744"/>
    </row>
    <row r="192" spans="1:10" ht="12.75" customHeight="1" x14ac:dyDescent="0.2">
      <c r="A192" s="742"/>
      <c r="B192" s="743"/>
      <c r="C192" s="743"/>
      <c r="D192" s="743"/>
      <c r="E192" s="743"/>
      <c r="F192" s="743"/>
      <c r="G192" s="743"/>
      <c r="H192" s="743"/>
      <c r="I192" s="743"/>
      <c r="J192" s="744"/>
    </row>
    <row r="193" spans="1:10" ht="12.75" customHeight="1" x14ac:dyDescent="0.2">
      <c r="A193" s="742"/>
      <c r="B193" s="743"/>
      <c r="C193" s="743"/>
      <c r="D193" s="743"/>
      <c r="E193" s="743"/>
      <c r="F193" s="743"/>
      <c r="G193" s="743"/>
      <c r="H193" s="743"/>
      <c r="I193" s="743"/>
      <c r="J193" s="744"/>
    </row>
    <row r="194" spans="1:10" ht="12.75" customHeight="1" x14ac:dyDescent="0.2">
      <c r="A194" s="742"/>
      <c r="B194" s="743"/>
      <c r="C194" s="743"/>
      <c r="D194" s="743"/>
      <c r="E194" s="743"/>
      <c r="F194" s="743"/>
      <c r="G194" s="743"/>
      <c r="H194" s="743"/>
      <c r="I194" s="743"/>
      <c r="J194" s="744"/>
    </row>
    <row r="195" spans="1:10" ht="12.75" customHeight="1" x14ac:dyDescent="0.2">
      <c r="A195" s="742"/>
      <c r="B195" s="743"/>
      <c r="C195" s="743"/>
      <c r="D195" s="743"/>
      <c r="E195" s="743"/>
      <c r="F195" s="743"/>
      <c r="G195" s="743"/>
      <c r="H195" s="743"/>
      <c r="I195" s="743"/>
      <c r="J195" s="744"/>
    </row>
    <row r="196" spans="1:10" ht="12.75" customHeight="1" x14ac:dyDescent="0.2">
      <c r="A196" s="742"/>
      <c r="B196" s="743"/>
      <c r="C196" s="743"/>
      <c r="D196" s="743"/>
      <c r="E196" s="743"/>
      <c r="F196" s="743"/>
      <c r="G196" s="743"/>
      <c r="H196" s="743"/>
      <c r="I196" s="743"/>
      <c r="J196" s="744"/>
    </row>
    <row r="197" spans="1:10" ht="12.75" customHeight="1" x14ac:dyDescent="0.2">
      <c r="A197" s="742"/>
      <c r="B197" s="743"/>
      <c r="C197" s="743"/>
      <c r="D197" s="743"/>
      <c r="E197" s="743"/>
      <c r="F197" s="743"/>
      <c r="G197" s="743"/>
      <c r="H197" s="743"/>
      <c r="I197" s="743"/>
      <c r="J197" s="744"/>
    </row>
    <row r="198" spans="1:10" ht="12.75" customHeight="1" x14ac:dyDescent="0.2">
      <c r="A198" s="742"/>
      <c r="B198" s="743"/>
      <c r="C198" s="743"/>
      <c r="D198" s="743"/>
      <c r="E198" s="743"/>
      <c r="F198" s="743"/>
      <c r="G198" s="743"/>
      <c r="H198" s="743"/>
      <c r="I198" s="743"/>
      <c r="J198" s="744"/>
    </row>
    <row r="199" spans="1:10" ht="12.75" customHeight="1" x14ac:dyDescent="0.2">
      <c r="A199" s="742"/>
      <c r="B199" s="743"/>
      <c r="C199" s="743"/>
      <c r="D199" s="743"/>
      <c r="E199" s="743"/>
      <c r="F199" s="743"/>
      <c r="G199" s="743"/>
      <c r="H199" s="743"/>
      <c r="I199" s="743"/>
      <c r="J199" s="744"/>
    </row>
    <row r="200" spans="1:10" ht="12.75" customHeight="1" x14ac:dyDescent="0.2">
      <c r="A200" s="742"/>
      <c r="B200" s="743"/>
      <c r="C200" s="743"/>
      <c r="D200" s="743"/>
      <c r="E200" s="743"/>
      <c r="F200" s="743"/>
      <c r="G200" s="743"/>
      <c r="H200" s="743"/>
      <c r="I200" s="743"/>
      <c r="J200" s="744"/>
    </row>
    <row r="201" spans="1:10" ht="12.75" customHeight="1" x14ac:dyDescent="0.2">
      <c r="A201" s="742"/>
      <c r="B201" s="743"/>
      <c r="C201" s="743"/>
      <c r="D201" s="743"/>
      <c r="E201" s="743"/>
      <c r="F201" s="743"/>
      <c r="G201" s="743"/>
      <c r="H201" s="743"/>
      <c r="I201" s="743"/>
      <c r="J201" s="744"/>
    </row>
    <row r="202" spans="1:10" ht="12.75" customHeight="1" x14ac:dyDescent="0.2">
      <c r="A202" s="742"/>
      <c r="B202" s="743"/>
      <c r="C202" s="743"/>
      <c r="D202" s="743"/>
      <c r="E202" s="743"/>
      <c r="F202" s="743"/>
      <c r="G202" s="743"/>
      <c r="H202" s="743"/>
      <c r="I202" s="743"/>
      <c r="J202" s="744"/>
    </row>
    <row r="203" spans="1:10" ht="12.75" customHeight="1" x14ac:dyDescent="0.2">
      <c r="A203" s="742"/>
      <c r="B203" s="743"/>
      <c r="C203" s="743"/>
      <c r="D203" s="743"/>
      <c r="E203" s="743"/>
      <c r="F203" s="743"/>
      <c r="G203" s="743"/>
      <c r="H203" s="743"/>
      <c r="I203" s="743"/>
      <c r="J203" s="744"/>
    </row>
    <row r="204" spans="1:10" ht="12.75" customHeight="1" x14ac:dyDescent="0.2">
      <c r="A204" s="742"/>
      <c r="B204" s="743"/>
      <c r="C204" s="743"/>
      <c r="D204" s="743"/>
      <c r="E204" s="743"/>
      <c r="F204" s="743"/>
      <c r="G204" s="743"/>
      <c r="H204" s="743"/>
      <c r="I204" s="743"/>
      <c r="J204" s="744"/>
    </row>
    <row r="205" spans="1:10" ht="12.75" customHeight="1" x14ac:dyDescent="0.2">
      <c r="A205" s="742"/>
      <c r="B205" s="743"/>
      <c r="C205" s="743"/>
      <c r="D205" s="743"/>
      <c r="E205" s="743"/>
      <c r="F205" s="743"/>
      <c r="G205" s="743"/>
      <c r="H205" s="743"/>
      <c r="I205" s="743"/>
      <c r="J205" s="744"/>
    </row>
    <row r="206" spans="1:10" ht="12.75" customHeight="1" x14ac:dyDescent="0.2">
      <c r="A206" s="742"/>
      <c r="B206" s="743"/>
      <c r="C206" s="743"/>
      <c r="D206" s="743"/>
      <c r="E206" s="743"/>
      <c r="F206" s="743"/>
      <c r="G206" s="743"/>
      <c r="H206" s="743"/>
      <c r="I206" s="743"/>
      <c r="J206" s="744"/>
    </row>
    <row r="207" spans="1:10" ht="12.75" customHeight="1" x14ac:dyDescent="0.2">
      <c r="A207" s="742"/>
      <c r="B207" s="743"/>
      <c r="C207" s="743"/>
      <c r="D207" s="743"/>
      <c r="E207" s="743"/>
      <c r="F207" s="743"/>
      <c r="G207" s="743"/>
      <c r="H207" s="743"/>
      <c r="I207" s="743"/>
      <c r="J207" s="744"/>
    </row>
    <row r="208" spans="1:10" ht="12.75" customHeight="1" x14ac:dyDescent="0.2">
      <c r="A208" s="742"/>
      <c r="B208" s="743"/>
      <c r="C208" s="743"/>
      <c r="D208" s="743"/>
      <c r="E208" s="743"/>
      <c r="F208" s="743"/>
      <c r="G208" s="743"/>
      <c r="H208" s="743"/>
      <c r="I208" s="743"/>
      <c r="J208" s="744"/>
    </row>
    <row r="209" spans="1:10" ht="12.75" customHeight="1" x14ac:dyDescent="0.2">
      <c r="A209" s="742"/>
      <c r="B209" s="743"/>
      <c r="C209" s="743"/>
      <c r="D209" s="743"/>
      <c r="E209" s="743"/>
      <c r="F209" s="743"/>
      <c r="G209" s="743"/>
      <c r="H209" s="743"/>
      <c r="I209" s="743"/>
      <c r="J209" s="744"/>
    </row>
    <row r="210" spans="1:10" ht="12.75" customHeight="1" x14ac:dyDescent="0.2">
      <c r="A210" s="742"/>
      <c r="B210" s="743"/>
      <c r="C210" s="743"/>
      <c r="D210" s="743"/>
      <c r="E210" s="743"/>
      <c r="F210" s="743"/>
      <c r="G210" s="743"/>
      <c r="H210" s="743"/>
      <c r="I210" s="743"/>
      <c r="J210" s="744"/>
    </row>
    <row r="211" spans="1:10" s="61" customFormat="1" x14ac:dyDescent="0.2">
      <c r="A211" s="55"/>
      <c r="B211" s="56"/>
      <c r="C211" s="57"/>
      <c r="D211" s="58"/>
      <c r="E211" s="58"/>
      <c r="F211" s="58"/>
      <c r="G211" s="58"/>
      <c r="H211" s="59"/>
      <c r="I211" s="57"/>
      <c r="J211" s="60"/>
    </row>
    <row r="212" spans="1:10" s="61" customFormat="1" ht="25.5" customHeight="1" x14ac:dyDescent="0.2">
      <c r="A212" s="730" t="s">
        <v>182</v>
      </c>
      <c r="B212" s="731"/>
      <c r="C212" s="731"/>
      <c r="D212" s="731"/>
      <c r="E212" s="731"/>
      <c r="F212" s="731"/>
      <c r="G212" s="731"/>
      <c r="H212" s="731"/>
      <c r="I212" s="731"/>
      <c r="J212" s="732"/>
    </row>
    <row r="213" spans="1:10" s="61" customFormat="1" ht="12.75" customHeight="1" x14ac:dyDescent="0.2">
      <c r="A213" s="475" t="s">
        <v>178</v>
      </c>
      <c r="B213" s="476"/>
      <c r="C213" s="476"/>
      <c r="D213" s="476"/>
      <c r="E213" s="476"/>
      <c r="F213" s="746">
        <v>0.08</v>
      </c>
      <c r="G213" s="746"/>
      <c r="H213" s="746"/>
      <c r="I213" s="746"/>
      <c r="J213" s="747"/>
    </row>
    <row r="214" spans="1:10" ht="12.75" customHeight="1" x14ac:dyDescent="0.2">
      <c r="A214" s="721" t="s">
        <v>370</v>
      </c>
      <c r="B214" s="722"/>
      <c r="C214" s="722"/>
      <c r="D214" s="722"/>
      <c r="E214" s="722"/>
      <c r="F214" s="722"/>
      <c r="G214" s="722"/>
      <c r="H214" s="722"/>
      <c r="I214" s="722"/>
      <c r="J214" s="723"/>
    </row>
    <row r="215" spans="1:10" ht="12.75" customHeight="1" x14ac:dyDescent="0.2">
      <c r="A215" s="724"/>
      <c r="B215" s="725"/>
      <c r="C215" s="725"/>
      <c r="D215" s="725"/>
      <c r="E215" s="725"/>
      <c r="F215" s="725"/>
      <c r="G215" s="725"/>
      <c r="H215" s="725"/>
      <c r="I215" s="725"/>
      <c r="J215" s="726"/>
    </row>
    <row r="216" spans="1:10" ht="12.75" customHeight="1" x14ac:dyDescent="0.2">
      <c r="A216" s="724"/>
      <c r="B216" s="725"/>
      <c r="C216" s="725"/>
      <c r="D216" s="725"/>
      <c r="E216" s="725"/>
      <c r="F216" s="725"/>
      <c r="G216" s="725"/>
      <c r="H216" s="725"/>
      <c r="I216" s="725"/>
      <c r="J216" s="726"/>
    </row>
    <row r="217" spans="1:10" ht="15" customHeight="1" x14ac:dyDescent="0.2">
      <c r="A217" s="727"/>
      <c r="B217" s="728"/>
      <c r="C217" s="728"/>
      <c r="D217" s="728"/>
      <c r="E217" s="728"/>
      <c r="F217" s="728"/>
      <c r="G217" s="728"/>
      <c r="H217" s="728"/>
      <c r="I217" s="728"/>
      <c r="J217" s="729"/>
    </row>
    <row r="218" spans="1:10" ht="12.75" customHeight="1" x14ac:dyDescent="0.2">
      <c r="A218" s="742" t="s">
        <v>1110</v>
      </c>
      <c r="B218" s="743"/>
      <c r="C218" s="743"/>
      <c r="D218" s="743"/>
      <c r="E218" s="743"/>
      <c r="F218" s="743"/>
      <c r="G218" s="743"/>
      <c r="H218" s="743"/>
      <c r="I218" s="743"/>
      <c r="J218" s="744"/>
    </row>
    <row r="219" spans="1:10" ht="12.75" customHeight="1" x14ac:dyDescent="0.2">
      <c r="A219" s="742"/>
      <c r="B219" s="743"/>
      <c r="C219" s="743"/>
      <c r="D219" s="743"/>
      <c r="E219" s="743"/>
      <c r="F219" s="743"/>
      <c r="G219" s="743"/>
      <c r="H219" s="743"/>
      <c r="I219" s="743"/>
      <c r="J219" s="744"/>
    </row>
    <row r="220" spans="1:10" ht="12.75" customHeight="1" x14ac:dyDescent="0.2">
      <c r="A220" s="742"/>
      <c r="B220" s="743"/>
      <c r="C220" s="743"/>
      <c r="D220" s="743"/>
      <c r="E220" s="743"/>
      <c r="F220" s="743"/>
      <c r="G220" s="743"/>
      <c r="H220" s="743"/>
      <c r="I220" s="743"/>
      <c r="J220" s="744"/>
    </row>
    <row r="221" spans="1:10" ht="12.75" customHeight="1" x14ac:dyDescent="0.2">
      <c r="A221" s="742"/>
      <c r="B221" s="743"/>
      <c r="C221" s="743"/>
      <c r="D221" s="743"/>
      <c r="E221" s="743"/>
      <c r="F221" s="743"/>
      <c r="G221" s="743"/>
      <c r="H221" s="743"/>
      <c r="I221" s="743"/>
      <c r="J221" s="744"/>
    </row>
    <row r="222" spans="1:10" ht="12.75" customHeight="1" x14ac:dyDescent="0.2">
      <c r="A222" s="742"/>
      <c r="B222" s="743"/>
      <c r="C222" s="743"/>
      <c r="D222" s="743"/>
      <c r="E222" s="743"/>
      <c r="F222" s="743"/>
      <c r="G222" s="743"/>
      <c r="H222" s="743"/>
      <c r="I222" s="743"/>
      <c r="J222" s="744"/>
    </row>
    <row r="223" spans="1:10" ht="12.75" customHeight="1" x14ac:dyDescent="0.2">
      <c r="A223" s="742"/>
      <c r="B223" s="743"/>
      <c r="C223" s="743"/>
      <c r="D223" s="743"/>
      <c r="E223" s="743"/>
      <c r="F223" s="743"/>
      <c r="G223" s="743"/>
      <c r="H223" s="743"/>
      <c r="I223" s="743"/>
      <c r="J223" s="744"/>
    </row>
    <row r="224" spans="1:10" ht="12.75" customHeight="1" x14ac:dyDescent="0.2">
      <c r="A224" s="742"/>
      <c r="B224" s="743"/>
      <c r="C224" s="743"/>
      <c r="D224" s="743"/>
      <c r="E224" s="743"/>
      <c r="F224" s="743"/>
      <c r="G224" s="743"/>
      <c r="H224" s="743"/>
      <c r="I224" s="743"/>
      <c r="J224" s="744"/>
    </row>
    <row r="225" spans="1:10" ht="12.75" customHeight="1" x14ac:dyDescent="0.2">
      <c r="A225" s="742"/>
      <c r="B225" s="743"/>
      <c r="C225" s="743"/>
      <c r="D225" s="743"/>
      <c r="E225" s="743"/>
      <c r="F225" s="743"/>
      <c r="G225" s="743"/>
      <c r="H225" s="743"/>
      <c r="I225" s="743"/>
      <c r="J225" s="744"/>
    </row>
    <row r="226" spans="1:10" ht="12.75" customHeight="1" x14ac:dyDescent="0.2">
      <c r="A226" s="742"/>
      <c r="B226" s="743"/>
      <c r="C226" s="743"/>
      <c r="D226" s="743"/>
      <c r="E226" s="743"/>
      <c r="F226" s="743"/>
      <c r="G226" s="743"/>
      <c r="H226" s="743"/>
      <c r="I226" s="743"/>
      <c r="J226" s="744"/>
    </row>
    <row r="227" spans="1:10" ht="12.75" customHeight="1" x14ac:dyDescent="0.2">
      <c r="A227" s="742"/>
      <c r="B227" s="743"/>
      <c r="C227" s="743"/>
      <c r="D227" s="743"/>
      <c r="E227" s="743"/>
      <c r="F227" s="743"/>
      <c r="G227" s="743"/>
      <c r="H227" s="743"/>
      <c r="I227" s="743"/>
      <c r="J227" s="744"/>
    </row>
    <row r="228" spans="1:10" ht="12.75" customHeight="1" x14ac:dyDescent="0.2">
      <c r="A228" s="742"/>
      <c r="B228" s="743"/>
      <c r="C228" s="743"/>
      <c r="D228" s="743"/>
      <c r="E228" s="743"/>
      <c r="F228" s="743"/>
      <c r="G228" s="743"/>
      <c r="H228" s="743"/>
      <c r="I228" s="743"/>
      <c r="J228" s="744"/>
    </row>
    <row r="229" spans="1:10" ht="12.75" customHeight="1" x14ac:dyDescent="0.2">
      <c r="A229" s="742"/>
      <c r="B229" s="743"/>
      <c r="C229" s="743"/>
      <c r="D229" s="743"/>
      <c r="E229" s="743"/>
      <c r="F229" s="743"/>
      <c r="G229" s="743"/>
      <c r="H229" s="743"/>
      <c r="I229" s="743"/>
      <c r="J229" s="744"/>
    </row>
    <row r="230" spans="1:10" ht="12.75" customHeight="1" x14ac:dyDescent="0.2">
      <c r="A230" s="742"/>
      <c r="B230" s="743"/>
      <c r="C230" s="743"/>
      <c r="D230" s="743"/>
      <c r="E230" s="743"/>
      <c r="F230" s="743"/>
      <c r="G230" s="743"/>
      <c r="H230" s="743"/>
      <c r="I230" s="743"/>
      <c r="J230" s="744"/>
    </row>
    <row r="231" spans="1:10" ht="12.75" customHeight="1" x14ac:dyDescent="0.2">
      <c r="A231" s="742"/>
      <c r="B231" s="743"/>
      <c r="C231" s="743"/>
      <c r="D231" s="743"/>
      <c r="E231" s="743"/>
      <c r="F231" s="743"/>
      <c r="G231" s="743"/>
      <c r="H231" s="743"/>
      <c r="I231" s="743"/>
      <c r="J231" s="744"/>
    </row>
    <row r="232" spans="1:10" ht="12.75" customHeight="1" x14ac:dyDescent="0.2">
      <c r="A232" s="742"/>
      <c r="B232" s="743"/>
      <c r="C232" s="743"/>
      <c r="D232" s="743"/>
      <c r="E232" s="743"/>
      <c r="F232" s="743"/>
      <c r="G232" s="743"/>
      <c r="H232" s="743"/>
      <c r="I232" s="743"/>
      <c r="J232" s="744"/>
    </row>
    <row r="233" spans="1:10" ht="12.75" customHeight="1" x14ac:dyDescent="0.2">
      <c r="A233" s="742"/>
      <c r="B233" s="743"/>
      <c r="C233" s="743"/>
      <c r="D233" s="743"/>
      <c r="E233" s="743"/>
      <c r="F233" s="743"/>
      <c r="G233" s="743"/>
      <c r="H233" s="743"/>
      <c r="I233" s="743"/>
      <c r="J233" s="744"/>
    </row>
    <row r="234" spans="1:10" ht="12.75" customHeight="1" x14ac:dyDescent="0.2">
      <c r="A234" s="742"/>
      <c r="B234" s="743"/>
      <c r="C234" s="743"/>
      <c r="D234" s="743"/>
      <c r="E234" s="743"/>
      <c r="F234" s="743"/>
      <c r="G234" s="743"/>
      <c r="H234" s="743"/>
      <c r="I234" s="743"/>
      <c r="J234" s="744"/>
    </row>
    <row r="235" spans="1:10" ht="12.75" customHeight="1" x14ac:dyDescent="0.2">
      <c r="A235" s="742"/>
      <c r="B235" s="743"/>
      <c r="C235" s="743"/>
      <c r="D235" s="743"/>
      <c r="E235" s="743"/>
      <c r="F235" s="743"/>
      <c r="G235" s="743"/>
      <c r="H235" s="743"/>
      <c r="I235" s="743"/>
      <c r="J235" s="744"/>
    </row>
    <row r="236" spans="1:10" ht="12.75" customHeight="1" x14ac:dyDescent="0.2">
      <c r="A236" s="742"/>
      <c r="B236" s="743"/>
      <c r="C236" s="743"/>
      <c r="D236" s="743"/>
      <c r="E236" s="743"/>
      <c r="F236" s="743"/>
      <c r="G236" s="743"/>
      <c r="H236" s="743"/>
      <c r="I236" s="743"/>
      <c r="J236" s="744"/>
    </row>
    <row r="237" spans="1:10" ht="12.75" customHeight="1" x14ac:dyDescent="0.2">
      <c r="A237" s="742"/>
      <c r="B237" s="743"/>
      <c r="C237" s="743"/>
      <c r="D237" s="743"/>
      <c r="E237" s="743"/>
      <c r="F237" s="743"/>
      <c r="G237" s="743"/>
      <c r="H237" s="743"/>
      <c r="I237" s="743"/>
      <c r="J237" s="744"/>
    </row>
    <row r="238" spans="1:10" ht="12.75" customHeight="1" x14ac:dyDescent="0.2">
      <c r="A238" s="742"/>
      <c r="B238" s="743"/>
      <c r="C238" s="743"/>
      <c r="D238" s="743"/>
      <c r="E238" s="743"/>
      <c r="F238" s="743"/>
      <c r="G238" s="743"/>
      <c r="H238" s="743"/>
      <c r="I238" s="743"/>
      <c r="J238" s="744"/>
    </row>
    <row r="239" spans="1:10" ht="12.75" customHeight="1" x14ac:dyDescent="0.2">
      <c r="A239" s="742"/>
      <c r="B239" s="743"/>
      <c r="C239" s="743"/>
      <c r="D239" s="743"/>
      <c r="E239" s="743"/>
      <c r="F239" s="743"/>
      <c r="G239" s="743"/>
      <c r="H239" s="743"/>
      <c r="I239" s="743"/>
      <c r="J239" s="744"/>
    </row>
    <row r="240" spans="1:10" ht="12.75" customHeight="1" x14ac:dyDescent="0.2">
      <c r="A240" s="742"/>
      <c r="B240" s="743"/>
      <c r="C240" s="743"/>
      <c r="D240" s="743"/>
      <c r="E240" s="743"/>
      <c r="F240" s="743"/>
      <c r="G240" s="743"/>
      <c r="H240" s="743"/>
      <c r="I240" s="743"/>
      <c r="J240" s="744"/>
    </row>
    <row r="241" spans="1:10" ht="12.75" customHeight="1" x14ac:dyDescent="0.2">
      <c r="A241" s="742"/>
      <c r="B241" s="743"/>
      <c r="C241" s="743"/>
      <c r="D241" s="743"/>
      <c r="E241" s="743"/>
      <c r="F241" s="743"/>
      <c r="G241" s="743"/>
      <c r="H241" s="743"/>
      <c r="I241" s="743"/>
      <c r="J241" s="744"/>
    </row>
    <row r="242" spans="1:10" ht="12.75" customHeight="1" x14ac:dyDescent="0.2">
      <c r="A242" s="742"/>
      <c r="B242" s="743"/>
      <c r="C242" s="743"/>
      <c r="D242" s="743"/>
      <c r="E242" s="743"/>
      <c r="F242" s="743"/>
      <c r="G242" s="743"/>
      <c r="H242" s="743"/>
      <c r="I242" s="743"/>
      <c r="J242" s="744"/>
    </row>
    <row r="243" spans="1:10" ht="12.75" customHeight="1" x14ac:dyDescent="0.2">
      <c r="A243" s="742"/>
      <c r="B243" s="743"/>
      <c r="C243" s="743"/>
      <c r="D243" s="743"/>
      <c r="E243" s="743"/>
      <c r="F243" s="743"/>
      <c r="G243" s="743"/>
      <c r="H243" s="743"/>
      <c r="I243" s="743"/>
      <c r="J243" s="744"/>
    </row>
    <row r="244" spans="1:10" ht="12.75" customHeight="1" x14ac:dyDescent="0.2">
      <c r="A244" s="742"/>
      <c r="B244" s="743"/>
      <c r="C244" s="743"/>
      <c r="D244" s="743"/>
      <c r="E244" s="743"/>
      <c r="F244" s="743"/>
      <c r="G244" s="743"/>
      <c r="H244" s="743"/>
      <c r="I244" s="743"/>
      <c r="J244" s="744"/>
    </row>
    <row r="245" spans="1:10" ht="12.75" customHeight="1" x14ac:dyDescent="0.2">
      <c r="A245" s="742"/>
      <c r="B245" s="743"/>
      <c r="C245" s="743"/>
      <c r="D245" s="743"/>
      <c r="E245" s="743"/>
      <c r="F245" s="743"/>
      <c r="G245" s="743"/>
      <c r="H245" s="743"/>
      <c r="I245" s="743"/>
      <c r="J245" s="744"/>
    </row>
    <row r="246" spans="1:10" ht="12.75" customHeight="1" x14ac:dyDescent="0.2">
      <c r="A246" s="742"/>
      <c r="B246" s="743"/>
      <c r="C246" s="743"/>
      <c r="D246" s="743"/>
      <c r="E246" s="743"/>
      <c r="F246" s="743"/>
      <c r="G246" s="743"/>
      <c r="H246" s="743"/>
      <c r="I246" s="743"/>
      <c r="J246" s="744"/>
    </row>
    <row r="247" spans="1:10" ht="12.75" customHeight="1" x14ac:dyDescent="0.2">
      <c r="A247" s="742"/>
      <c r="B247" s="743"/>
      <c r="C247" s="743"/>
      <c r="D247" s="743"/>
      <c r="E247" s="743"/>
      <c r="F247" s="743"/>
      <c r="G247" s="743"/>
      <c r="H247" s="743"/>
      <c r="I247" s="743"/>
      <c r="J247" s="744"/>
    </row>
    <row r="248" spans="1:10" ht="12.75" customHeight="1" x14ac:dyDescent="0.2">
      <c r="A248" s="742"/>
      <c r="B248" s="743"/>
      <c r="C248" s="743"/>
      <c r="D248" s="743"/>
      <c r="E248" s="743"/>
      <c r="F248" s="743"/>
      <c r="G248" s="743"/>
      <c r="H248" s="743"/>
      <c r="I248" s="743"/>
      <c r="J248" s="744"/>
    </row>
    <row r="249" spans="1:10" ht="12.75" customHeight="1" x14ac:dyDescent="0.2">
      <c r="A249" s="742"/>
      <c r="B249" s="743"/>
      <c r="C249" s="743"/>
      <c r="D249" s="743"/>
      <c r="E249" s="743"/>
      <c r="F249" s="743"/>
      <c r="G249" s="743"/>
      <c r="H249" s="743"/>
      <c r="I249" s="743"/>
      <c r="J249" s="744"/>
    </row>
    <row r="250" spans="1:10" ht="12.75" customHeight="1" x14ac:dyDescent="0.2">
      <c r="A250" s="742"/>
      <c r="B250" s="743"/>
      <c r="C250" s="743"/>
      <c r="D250" s="743"/>
      <c r="E250" s="743"/>
      <c r="F250" s="743"/>
      <c r="G250" s="743"/>
      <c r="H250" s="743"/>
      <c r="I250" s="743"/>
      <c r="J250" s="744"/>
    </row>
    <row r="251" spans="1:10" ht="12.75" customHeight="1" x14ac:dyDescent="0.2">
      <c r="A251" s="742"/>
      <c r="B251" s="743"/>
      <c r="C251" s="743"/>
      <c r="D251" s="743"/>
      <c r="E251" s="743"/>
      <c r="F251" s="743"/>
      <c r="G251" s="743"/>
      <c r="H251" s="743"/>
      <c r="I251" s="743"/>
      <c r="J251" s="744"/>
    </row>
    <row r="252" spans="1:10" ht="12.75" customHeight="1" x14ac:dyDescent="0.2">
      <c r="A252" s="742"/>
      <c r="B252" s="743"/>
      <c r="C252" s="743"/>
      <c r="D252" s="743"/>
      <c r="E252" s="743"/>
      <c r="F252" s="743"/>
      <c r="G252" s="743"/>
      <c r="H252" s="743"/>
      <c r="I252" s="743"/>
      <c r="J252" s="744"/>
    </row>
    <row r="253" spans="1:10" s="61" customFormat="1" x14ac:dyDescent="0.2">
      <c r="A253" s="55"/>
      <c r="B253" s="56"/>
      <c r="C253" s="57"/>
      <c r="D253" s="58"/>
      <c r="E253" s="58"/>
      <c r="F253" s="58"/>
      <c r="G253" s="58"/>
      <c r="H253" s="59"/>
      <c r="I253" s="57"/>
      <c r="J253" s="60"/>
    </row>
    <row r="254" spans="1:10" s="61" customFormat="1" ht="25.5" customHeight="1" x14ac:dyDescent="0.2">
      <c r="A254" s="730" t="s">
        <v>183</v>
      </c>
      <c r="B254" s="731"/>
      <c r="C254" s="731"/>
      <c r="D254" s="731"/>
      <c r="E254" s="731"/>
      <c r="F254" s="731"/>
      <c r="G254" s="731"/>
      <c r="H254" s="731"/>
      <c r="I254" s="731"/>
      <c r="J254" s="732"/>
    </row>
    <row r="255" spans="1:10" s="61" customFormat="1" ht="12.75" customHeight="1" x14ac:dyDescent="0.2">
      <c r="A255" s="475" t="s">
        <v>178</v>
      </c>
      <c r="B255" s="476"/>
      <c r="C255" s="476"/>
      <c r="D255" s="476"/>
      <c r="E255" s="476"/>
      <c r="F255" s="746">
        <v>0.08</v>
      </c>
      <c r="G255" s="746"/>
      <c r="H255" s="746"/>
      <c r="I255" s="746"/>
      <c r="J255" s="747"/>
    </row>
    <row r="256" spans="1:10" ht="12.75" customHeight="1" x14ac:dyDescent="0.2">
      <c r="A256" s="721" t="s">
        <v>370</v>
      </c>
      <c r="B256" s="722"/>
      <c r="C256" s="722"/>
      <c r="D256" s="722"/>
      <c r="E256" s="722"/>
      <c r="F256" s="722"/>
      <c r="G256" s="722"/>
      <c r="H256" s="722"/>
      <c r="I256" s="722"/>
      <c r="J256" s="723"/>
    </row>
    <row r="257" spans="1:10" ht="12.75" customHeight="1" x14ac:dyDescent="0.2">
      <c r="A257" s="724"/>
      <c r="B257" s="725"/>
      <c r="C257" s="725"/>
      <c r="D257" s="725"/>
      <c r="E257" s="725"/>
      <c r="F257" s="725"/>
      <c r="G257" s="725"/>
      <c r="H257" s="725"/>
      <c r="I257" s="725"/>
      <c r="J257" s="726"/>
    </row>
    <row r="258" spans="1:10" ht="12.75" customHeight="1" x14ac:dyDescent="0.2">
      <c r="A258" s="724"/>
      <c r="B258" s="725"/>
      <c r="C258" s="725"/>
      <c r="D258" s="725"/>
      <c r="E258" s="725"/>
      <c r="F258" s="725"/>
      <c r="G258" s="725"/>
      <c r="H258" s="725"/>
      <c r="I258" s="725"/>
      <c r="J258" s="726"/>
    </row>
    <row r="259" spans="1:10" ht="15" customHeight="1" x14ac:dyDescent="0.2">
      <c r="A259" s="727"/>
      <c r="B259" s="728"/>
      <c r="C259" s="728"/>
      <c r="D259" s="728"/>
      <c r="E259" s="728"/>
      <c r="F259" s="728"/>
      <c r="G259" s="728"/>
      <c r="H259" s="728"/>
      <c r="I259" s="728"/>
      <c r="J259" s="729"/>
    </row>
    <row r="260" spans="1:10" ht="12.75" customHeight="1" x14ac:dyDescent="0.2">
      <c r="A260" s="742" t="s">
        <v>1164</v>
      </c>
      <c r="B260" s="743"/>
      <c r="C260" s="743"/>
      <c r="D260" s="743"/>
      <c r="E260" s="743"/>
      <c r="F260" s="743"/>
      <c r="G260" s="743"/>
      <c r="H260" s="743"/>
      <c r="I260" s="743"/>
      <c r="J260" s="744"/>
    </row>
    <row r="261" spans="1:10" ht="12.75" customHeight="1" x14ac:dyDescent="0.2">
      <c r="A261" s="742"/>
      <c r="B261" s="743"/>
      <c r="C261" s="743"/>
      <c r="D261" s="743"/>
      <c r="E261" s="743"/>
      <c r="F261" s="743"/>
      <c r="G261" s="743"/>
      <c r="H261" s="743"/>
      <c r="I261" s="743"/>
      <c r="J261" s="744"/>
    </row>
    <row r="262" spans="1:10" ht="12.75" customHeight="1" x14ac:dyDescent="0.2">
      <c r="A262" s="742"/>
      <c r="B262" s="743"/>
      <c r="C262" s="743"/>
      <c r="D262" s="743"/>
      <c r="E262" s="743"/>
      <c r="F262" s="743"/>
      <c r="G262" s="743"/>
      <c r="H262" s="743"/>
      <c r="I262" s="743"/>
      <c r="J262" s="744"/>
    </row>
    <row r="263" spans="1:10" ht="12.75" customHeight="1" x14ac:dyDescent="0.2">
      <c r="A263" s="742"/>
      <c r="B263" s="743"/>
      <c r="C263" s="743"/>
      <c r="D263" s="743"/>
      <c r="E263" s="743"/>
      <c r="F263" s="743"/>
      <c r="G263" s="743"/>
      <c r="H263" s="743"/>
      <c r="I263" s="743"/>
      <c r="J263" s="744"/>
    </row>
    <row r="264" spans="1:10" ht="12.75" customHeight="1" x14ac:dyDescent="0.2">
      <c r="A264" s="742"/>
      <c r="B264" s="743"/>
      <c r="C264" s="743"/>
      <c r="D264" s="743"/>
      <c r="E264" s="743"/>
      <c r="F264" s="743"/>
      <c r="G264" s="743"/>
      <c r="H264" s="743"/>
      <c r="I264" s="743"/>
      <c r="J264" s="744"/>
    </row>
    <row r="265" spans="1:10" ht="12.75" customHeight="1" x14ac:dyDescent="0.2">
      <c r="A265" s="742"/>
      <c r="B265" s="743"/>
      <c r="C265" s="743"/>
      <c r="D265" s="743"/>
      <c r="E265" s="743"/>
      <c r="F265" s="743"/>
      <c r="G265" s="743"/>
      <c r="H265" s="743"/>
      <c r="I265" s="743"/>
      <c r="J265" s="744"/>
    </row>
    <row r="266" spans="1:10" ht="12.75" customHeight="1" x14ac:dyDescent="0.2">
      <c r="A266" s="742"/>
      <c r="B266" s="743"/>
      <c r="C266" s="743"/>
      <c r="D266" s="743"/>
      <c r="E266" s="743"/>
      <c r="F266" s="743"/>
      <c r="G266" s="743"/>
      <c r="H266" s="743"/>
      <c r="I266" s="743"/>
      <c r="J266" s="744"/>
    </row>
    <row r="267" spans="1:10" ht="12.75" customHeight="1" x14ac:dyDescent="0.2">
      <c r="A267" s="742"/>
      <c r="B267" s="743"/>
      <c r="C267" s="743"/>
      <c r="D267" s="743"/>
      <c r="E267" s="743"/>
      <c r="F267" s="743"/>
      <c r="G267" s="743"/>
      <c r="H267" s="743"/>
      <c r="I267" s="743"/>
      <c r="J267" s="744"/>
    </row>
    <row r="268" spans="1:10" ht="12.75" customHeight="1" x14ac:dyDescent="0.2">
      <c r="A268" s="742"/>
      <c r="B268" s="743"/>
      <c r="C268" s="743"/>
      <c r="D268" s="743"/>
      <c r="E268" s="743"/>
      <c r="F268" s="743"/>
      <c r="G268" s="743"/>
      <c r="H268" s="743"/>
      <c r="I268" s="743"/>
      <c r="J268" s="744"/>
    </row>
    <row r="269" spans="1:10" ht="12.75" customHeight="1" x14ac:dyDescent="0.2">
      <c r="A269" s="742"/>
      <c r="B269" s="743"/>
      <c r="C269" s="743"/>
      <c r="D269" s="743"/>
      <c r="E269" s="743"/>
      <c r="F269" s="743"/>
      <c r="G269" s="743"/>
      <c r="H269" s="743"/>
      <c r="I269" s="743"/>
      <c r="J269" s="744"/>
    </row>
    <row r="270" spans="1:10" ht="12.75" customHeight="1" x14ac:dyDescent="0.2">
      <c r="A270" s="742"/>
      <c r="B270" s="743"/>
      <c r="C270" s="743"/>
      <c r="D270" s="743"/>
      <c r="E270" s="743"/>
      <c r="F270" s="743"/>
      <c r="G270" s="743"/>
      <c r="H270" s="743"/>
      <c r="I270" s="743"/>
      <c r="J270" s="744"/>
    </row>
    <row r="271" spans="1:10" ht="12.75" customHeight="1" x14ac:dyDescent="0.2">
      <c r="A271" s="742"/>
      <c r="B271" s="743"/>
      <c r="C271" s="743"/>
      <c r="D271" s="743"/>
      <c r="E271" s="743"/>
      <c r="F271" s="743"/>
      <c r="G271" s="743"/>
      <c r="H271" s="743"/>
      <c r="I271" s="743"/>
      <c r="J271" s="744"/>
    </row>
    <row r="272" spans="1:10" ht="12.75" customHeight="1" x14ac:dyDescent="0.2">
      <c r="A272" s="742"/>
      <c r="B272" s="743"/>
      <c r="C272" s="743"/>
      <c r="D272" s="743"/>
      <c r="E272" s="743"/>
      <c r="F272" s="743"/>
      <c r="G272" s="743"/>
      <c r="H272" s="743"/>
      <c r="I272" s="743"/>
      <c r="J272" s="744"/>
    </row>
    <row r="273" spans="1:10" ht="12.75" customHeight="1" x14ac:dyDescent="0.2">
      <c r="A273" s="742"/>
      <c r="B273" s="743"/>
      <c r="C273" s="743"/>
      <c r="D273" s="743"/>
      <c r="E273" s="743"/>
      <c r="F273" s="743"/>
      <c r="G273" s="743"/>
      <c r="H273" s="743"/>
      <c r="I273" s="743"/>
      <c r="J273" s="744"/>
    </row>
    <row r="274" spans="1:10" ht="12.75" customHeight="1" x14ac:dyDescent="0.2">
      <c r="A274" s="742"/>
      <c r="B274" s="743"/>
      <c r="C274" s="743"/>
      <c r="D274" s="743"/>
      <c r="E274" s="743"/>
      <c r="F274" s="743"/>
      <c r="G274" s="743"/>
      <c r="H274" s="743"/>
      <c r="I274" s="743"/>
      <c r="J274" s="744"/>
    </row>
    <row r="275" spans="1:10" ht="12.75" customHeight="1" x14ac:dyDescent="0.2">
      <c r="A275" s="742"/>
      <c r="B275" s="743"/>
      <c r="C275" s="743"/>
      <c r="D275" s="743"/>
      <c r="E275" s="743"/>
      <c r="F275" s="743"/>
      <c r="G275" s="743"/>
      <c r="H275" s="743"/>
      <c r="I275" s="743"/>
      <c r="J275" s="744"/>
    </row>
    <row r="276" spans="1:10" ht="12.75" customHeight="1" x14ac:dyDescent="0.2">
      <c r="A276" s="742"/>
      <c r="B276" s="743"/>
      <c r="C276" s="743"/>
      <c r="D276" s="743"/>
      <c r="E276" s="743"/>
      <c r="F276" s="743"/>
      <c r="G276" s="743"/>
      <c r="H276" s="743"/>
      <c r="I276" s="743"/>
      <c r="J276" s="744"/>
    </row>
    <row r="277" spans="1:10" ht="12.75" customHeight="1" x14ac:dyDescent="0.2">
      <c r="A277" s="742"/>
      <c r="B277" s="743"/>
      <c r="C277" s="743"/>
      <c r="D277" s="743"/>
      <c r="E277" s="743"/>
      <c r="F277" s="743"/>
      <c r="G277" s="743"/>
      <c r="H277" s="743"/>
      <c r="I277" s="743"/>
      <c r="J277" s="744"/>
    </row>
    <row r="278" spans="1:10" ht="12.75" customHeight="1" x14ac:dyDescent="0.2">
      <c r="A278" s="742"/>
      <c r="B278" s="743"/>
      <c r="C278" s="743"/>
      <c r="D278" s="743"/>
      <c r="E278" s="743"/>
      <c r="F278" s="743"/>
      <c r="G278" s="743"/>
      <c r="H278" s="743"/>
      <c r="I278" s="743"/>
      <c r="J278" s="744"/>
    </row>
    <row r="279" spans="1:10" ht="12.75" customHeight="1" x14ac:dyDescent="0.2">
      <c r="A279" s="742"/>
      <c r="B279" s="743"/>
      <c r="C279" s="743"/>
      <c r="D279" s="743"/>
      <c r="E279" s="743"/>
      <c r="F279" s="743"/>
      <c r="G279" s="743"/>
      <c r="H279" s="743"/>
      <c r="I279" s="743"/>
      <c r="J279" s="744"/>
    </row>
    <row r="280" spans="1:10" ht="12.75" customHeight="1" x14ac:dyDescent="0.2">
      <c r="A280" s="742"/>
      <c r="B280" s="743"/>
      <c r="C280" s="743"/>
      <c r="D280" s="743"/>
      <c r="E280" s="743"/>
      <c r="F280" s="743"/>
      <c r="G280" s="743"/>
      <c r="H280" s="743"/>
      <c r="I280" s="743"/>
      <c r="J280" s="744"/>
    </row>
    <row r="281" spans="1:10" ht="12.75" customHeight="1" x14ac:dyDescent="0.2">
      <c r="A281" s="742"/>
      <c r="B281" s="743"/>
      <c r="C281" s="743"/>
      <c r="D281" s="743"/>
      <c r="E281" s="743"/>
      <c r="F281" s="743"/>
      <c r="G281" s="743"/>
      <c r="H281" s="743"/>
      <c r="I281" s="743"/>
      <c r="J281" s="744"/>
    </row>
    <row r="282" spans="1:10" ht="12.75" customHeight="1" x14ac:dyDescent="0.2">
      <c r="A282" s="742"/>
      <c r="B282" s="743"/>
      <c r="C282" s="743"/>
      <c r="D282" s="743"/>
      <c r="E282" s="743"/>
      <c r="F282" s="743"/>
      <c r="G282" s="743"/>
      <c r="H282" s="743"/>
      <c r="I282" s="743"/>
      <c r="J282" s="744"/>
    </row>
    <row r="283" spans="1:10" ht="12.75" customHeight="1" x14ac:dyDescent="0.2">
      <c r="A283" s="742"/>
      <c r="B283" s="743"/>
      <c r="C283" s="743"/>
      <c r="D283" s="743"/>
      <c r="E283" s="743"/>
      <c r="F283" s="743"/>
      <c r="G283" s="743"/>
      <c r="H283" s="743"/>
      <c r="I283" s="743"/>
      <c r="J283" s="744"/>
    </row>
    <row r="284" spans="1:10" ht="12.75" customHeight="1" x14ac:dyDescent="0.2">
      <c r="A284" s="742"/>
      <c r="B284" s="743"/>
      <c r="C284" s="743"/>
      <c r="D284" s="743"/>
      <c r="E284" s="743"/>
      <c r="F284" s="743"/>
      <c r="G284" s="743"/>
      <c r="H284" s="743"/>
      <c r="I284" s="743"/>
      <c r="J284" s="744"/>
    </row>
    <row r="285" spans="1:10" ht="12.75" customHeight="1" x14ac:dyDescent="0.2">
      <c r="A285" s="742"/>
      <c r="B285" s="743"/>
      <c r="C285" s="743"/>
      <c r="D285" s="743"/>
      <c r="E285" s="743"/>
      <c r="F285" s="743"/>
      <c r="G285" s="743"/>
      <c r="H285" s="743"/>
      <c r="I285" s="743"/>
      <c r="J285" s="744"/>
    </row>
    <row r="286" spans="1:10" ht="12.75" customHeight="1" x14ac:dyDescent="0.2">
      <c r="A286" s="742"/>
      <c r="B286" s="743"/>
      <c r="C286" s="743"/>
      <c r="D286" s="743"/>
      <c r="E286" s="743"/>
      <c r="F286" s="743"/>
      <c r="G286" s="743"/>
      <c r="H286" s="743"/>
      <c r="I286" s="743"/>
      <c r="J286" s="744"/>
    </row>
    <row r="287" spans="1:10" ht="12.75" customHeight="1" x14ac:dyDescent="0.2">
      <c r="A287" s="742"/>
      <c r="B287" s="743"/>
      <c r="C287" s="743"/>
      <c r="D287" s="743"/>
      <c r="E287" s="743"/>
      <c r="F287" s="743"/>
      <c r="G287" s="743"/>
      <c r="H287" s="743"/>
      <c r="I287" s="743"/>
      <c r="J287" s="744"/>
    </row>
    <row r="288" spans="1:10" ht="12.75" customHeight="1" x14ac:dyDescent="0.2">
      <c r="A288" s="742"/>
      <c r="B288" s="743"/>
      <c r="C288" s="743"/>
      <c r="D288" s="743"/>
      <c r="E288" s="743"/>
      <c r="F288" s="743"/>
      <c r="G288" s="743"/>
      <c r="H288" s="743"/>
      <c r="I288" s="743"/>
      <c r="J288" s="744"/>
    </row>
    <row r="289" spans="1:10" ht="12.75" customHeight="1" x14ac:dyDescent="0.2">
      <c r="A289" s="742"/>
      <c r="B289" s="743"/>
      <c r="C289" s="743"/>
      <c r="D289" s="743"/>
      <c r="E289" s="743"/>
      <c r="F289" s="743"/>
      <c r="G289" s="743"/>
      <c r="H289" s="743"/>
      <c r="I289" s="743"/>
      <c r="J289" s="744"/>
    </row>
    <row r="290" spans="1:10" ht="12.75" customHeight="1" x14ac:dyDescent="0.2">
      <c r="A290" s="742"/>
      <c r="B290" s="743"/>
      <c r="C290" s="743"/>
      <c r="D290" s="743"/>
      <c r="E290" s="743"/>
      <c r="F290" s="743"/>
      <c r="G290" s="743"/>
      <c r="H290" s="743"/>
      <c r="I290" s="743"/>
      <c r="J290" s="744"/>
    </row>
    <row r="291" spans="1:10" ht="12.75" customHeight="1" x14ac:dyDescent="0.2">
      <c r="A291" s="742"/>
      <c r="B291" s="743"/>
      <c r="C291" s="743"/>
      <c r="D291" s="743"/>
      <c r="E291" s="743"/>
      <c r="F291" s="743"/>
      <c r="G291" s="743"/>
      <c r="H291" s="743"/>
      <c r="I291" s="743"/>
      <c r="J291" s="744"/>
    </row>
    <row r="292" spans="1:10" ht="12.75" customHeight="1" x14ac:dyDescent="0.2">
      <c r="A292" s="742"/>
      <c r="B292" s="743"/>
      <c r="C292" s="743"/>
      <c r="D292" s="743"/>
      <c r="E292" s="743"/>
      <c r="F292" s="743"/>
      <c r="G292" s="743"/>
      <c r="H292" s="743"/>
      <c r="I292" s="743"/>
      <c r="J292" s="744"/>
    </row>
    <row r="293" spans="1:10" ht="12.75" customHeight="1" x14ac:dyDescent="0.2">
      <c r="A293" s="742"/>
      <c r="B293" s="743"/>
      <c r="C293" s="743"/>
      <c r="D293" s="743"/>
      <c r="E293" s="743"/>
      <c r="F293" s="743"/>
      <c r="G293" s="743"/>
      <c r="H293" s="743"/>
      <c r="I293" s="743"/>
      <c r="J293" s="744"/>
    </row>
    <row r="294" spans="1:10" ht="12.75" customHeight="1" x14ac:dyDescent="0.2">
      <c r="A294" s="742"/>
      <c r="B294" s="743"/>
      <c r="C294" s="743"/>
      <c r="D294" s="743"/>
      <c r="E294" s="743"/>
      <c r="F294" s="743"/>
      <c r="G294" s="743"/>
      <c r="H294" s="743"/>
      <c r="I294" s="743"/>
      <c r="J294" s="744"/>
    </row>
    <row r="295" spans="1:10" s="61" customFormat="1" x14ac:dyDescent="0.2">
      <c r="A295" s="55"/>
      <c r="B295" s="56"/>
      <c r="C295" s="57"/>
      <c r="D295" s="58"/>
      <c r="E295" s="58"/>
      <c r="F295" s="58"/>
      <c r="G295" s="58"/>
      <c r="H295" s="59"/>
      <c r="I295" s="57"/>
      <c r="J295" s="60"/>
    </row>
    <row r="296" spans="1:10" s="61" customFormat="1" ht="25.5" customHeight="1" x14ac:dyDescent="0.2">
      <c r="A296" s="730" t="s">
        <v>184</v>
      </c>
      <c r="B296" s="731"/>
      <c r="C296" s="731"/>
      <c r="D296" s="731"/>
      <c r="E296" s="731"/>
      <c r="F296" s="731"/>
      <c r="G296" s="731"/>
      <c r="H296" s="731"/>
      <c r="I296" s="731"/>
      <c r="J296" s="732"/>
    </row>
    <row r="297" spans="1:10" s="61" customFormat="1" ht="12.75" customHeight="1" x14ac:dyDescent="0.2">
      <c r="A297" s="475" t="s">
        <v>178</v>
      </c>
      <c r="B297" s="476"/>
      <c r="C297" s="476"/>
      <c r="D297" s="476"/>
      <c r="E297" s="476"/>
      <c r="F297" s="746">
        <v>0.14000000000000001</v>
      </c>
      <c r="G297" s="746"/>
      <c r="H297" s="746"/>
      <c r="I297" s="746"/>
      <c r="J297" s="747"/>
    </row>
    <row r="298" spans="1:10" ht="12.75" customHeight="1" x14ac:dyDescent="0.2">
      <c r="A298" s="721" t="s">
        <v>370</v>
      </c>
      <c r="B298" s="722"/>
      <c r="C298" s="722"/>
      <c r="D298" s="722"/>
      <c r="E298" s="722"/>
      <c r="F298" s="722"/>
      <c r="G298" s="722"/>
      <c r="H298" s="722"/>
      <c r="I298" s="722"/>
      <c r="J298" s="723"/>
    </row>
    <row r="299" spans="1:10" ht="12.75" customHeight="1" x14ac:dyDescent="0.2">
      <c r="A299" s="724"/>
      <c r="B299" s="725"/>
      <c r="C299" s="725"/>
      <c r="D299" s="725"/>
      <c r="E299" s="725"/>
      <c r="F299" s="725"/>
      <c r="G299" s="725"/>
      <c r="H299" s="725"/>
      <c r="I299" s="725"/>
      <c r="J299" s="726"/>
    </row>
    <row r="300" spans="1:10" ht="12.75" customHeight="1" x14ac:dyDescent="0.2">
      <c r="A300" s="724"/>
      <c r="B300" s="725"/>
      <c r="C300" s="725"/>
      <c r="D300" s="725"/>
      <c r="E300" s="725"/>
      <c r="F300" s="725"/>
      <c r="G300" s="725"/>
      <c r="H300" s="725"/>
      <c r="I300" s="725"/>
      <c r="J300" s="726"/>
    </row>
    <row r="301" spans="1:10" ht="15" customHeight="1" x14ac:dyDescent="0.2">
      <c r="A301" s="727"/>
      <c r="B301" s="728"/>
      <c r="C301" s="728"/>
      <c r="D301" s="728"/>
      <c r="E301" s="728"/>
      <c r="F301" s="728"/>
      <c r="G301" s="728"/>
      <c r="H301" s="728"/>
      <c r="I301" s="728"/>
      <c r="J301" s="729"/>
    </row>
    <row r="302" spans="1:10" ht="12.75" customHeight="1" x14ac:dyDescent="0.2">
      <c r="A302" s="742" t="s">
        <v>1059</v>
      </c>
      <c r="B302" s="743"/>
      <c r="C302" s="743"/>
      <c r="D302" s="743"/>
      <c r="E302" s="743"/>
      <c r="F302" s="743"/>
      <c r="G302" s="743"/>
      <c r="H302" s="743"/>
      <c r="I302" s="743"/>
      <c r="J302" s="744"/>
    </row>
    <row r="303" spans="1:10" ht="12.75" customHeight="1" x14ac:dyDescent="0.2">
      <c r="A303" s="742"/>
      <c r="B303" s="743"/>
      <c r="C303" s="743"/>
      <c r="D303" s="743"/>
      <c r="E303" s="743"/>
      <c r="F303" s="743"/>
      <c r="G303" s="743"/>
      <c r="H303" s="743"/>
      <c r="I303" s="743"/>
      <c r="J303" s="744"/>
    </row>
    <row r="304" spans="1:10" ht="12.75" customHeight="1" x14ac:dyDescent="0.2">
      <c r="A304" s="742"/>
      <c r="B304" s="743"/>
      <c r="C304" s="743"/>
      <c r="D304" s="743"/>
      <c r="E304" s="743"/>
      <c r="F304" s="743"/>
      <c r="G304" s="743"/>
      <c r="H304" s="743"/>
      <c r="I304" s="743"/>
      <c r="J304" s="744"/>
    </row>
    <row r="305" spans="1:10" ht="12.75" customHeight="1" x14ac:dyDescent="0.2">
      <c r="A305" s="742"/>
      <c r="B305" s="743"/>
      <c r="C305" s="743"/>
      <c r="D305" s="743"/>
      <c r="E305" s="743"/>
      <c r="F305" s="743"/>
      <c r="G305" s="743"/>
      <c r="H305" s="743"/>
      <c r="I305" s="743"/>
      <c r="J305" s="744"/>
    </row>
    <row r="306" spans="1:10" ht="12.75" customHeight="1" x14ac:dyDescent="0.2">
      <c r="A306" s="742"/>
      <c r="B306" s="743"/>
      <c r="C306" s="743"/>
      <c r="D306" s="743"/>
      <c r="E306" s="743"/>
      <c r="F306" s="743"/>
      <c r="G306" s="743"/>
      <c r="H306" s="743"/>
      <c r="I306" s="743"/>
      <c r="J306" s="744"/>
    </row>
    <row r="307" spans="1:10" ht="12.75" customHeight="1" x14ac:dyDescent="0.2">
      <c r="A307" s="742"/>
      <c r="B307" s="743"/>
      <c r="C307" s="743"/>
      <c r="D307" s="743"/>
      <c r="E307" s="743"/>
      <c r="F307" s="743"/>
      <c r="G307" s="743"/>
      <c r="H307" s="743"/>
      <c r="I307" s="743"/>
      <c r="J307" s="744"/>
    </row>
    <row r="308" spans="1:10" ht="12.75" customHeight="1" x14ac:dyDescent="0.2">
      <c r="A308" s="742"/>
      <c r="B308" s="743"/>
      <c r="C308" s="743"/>
      <c r="D308" s="743"/>
      <c r="E308" s="743"/>
      <c r="F308" s="743"/>
      <c r="G308" s="743"/>
      <c r="H308" s="743"/>
      <c r="I308" s="743"/>
      <c r="J308" s="744"/>
    </row>
    <row r="309" spans="1:10" ht="12.75" customHeight="1" x14ac:dyDescent="0.2">
      <c r="A309" s="742"/>
      <c r="B309" s="743"/>
      <c r="C309" s="743"/>
      <c r="D309" s="743"/>
      <c r="E309" s="743"/>
      <c r="F309" s="743"/>
      <c r="G309" s="743"/>
      <c r="H309" s="743"/>
      <c r="I309" s="743"/>
      <c r="J309" s="744"/>
    </row>
    <row r="310" spans="1:10" ht="12.75" customHeight="1" x14ac:dyDescent="0.2">
      <c r="A310" s="742"/>
      <c r="B310" s="743"/>
      <c r="C310" s="743"/>
      <c r="D310" s="743"/>
      <c r="E310" s="743"/>
      <c r="F310" s="743"/>
      <c r="G310" s="743"/>
      <c r="H310" s="743"/>
      <c r="I310" s="743"/>
      <c r="J310" s="744"/>
    </row>
    <row r="311" spans="1:10" ht="12.75" customHeight="1" x14ac:dyDescent="0.2">
      <c r="A311" s="742"/>
      <c r="B311" s="743"/>
      <c r="C311" s="743"/>
      <c r="D311" s="743"/>
      <c r="E311" s="743"/>
      <c r="F311" s="743"/>
      <c r="G311" s="743"/>
      <c r="H311" s="743"/>
      <c r="I311" s="743"/>
      <c r="J311" s="744"/>
    </row>
    <row r="312" spans="1:10" ht="12.75" customHeight="1" x14ac:dyDescent="0.2">
      <c r="A312" s="742"/>
      <c r="B312" s="743"/>
      <c r="C312" s="743"/>
      <c r="D312" s="743"/>
      <c r="E312" s="743"/>
      <c r="F312" s="743"/>
      <c r="G312" s="743"/>
      <c r="H312" s="743"/>
      <c r="I312" s="743"/>
      <c r="J312" s="744"/>
    </row>
    <row r="313" spans="1:10" ht="12.75" customHeight="1" x14ac:dyDescent="0.2">
      <c r="A313" s="742"/>
      <c r="B313" s="743"/>
      <c r="C313" s="743"/>
      <c r="D313" s="743"/>
      <c r="E313" s="743"/>
      <c r="F313" s="743"/>
      <c r="G313" s="743"/>
      <c r="H313" s="743"/>
      <c r="I313" s="743"/>
      <c r="J313" s="744"/>
    </row>
    <row r="314" spans="1:10" ht="12.75" customHeight="1" x14ac:dyDescent="0.2">
      <c r="A314" s="742"/>
      <c r="B314" s="743"/>
      <c r="C314" s="743"/>
      <c r="D314" s="743"/>
      <c r="E314" s="743"/>
      <c r="F314" s="743"/>
      <c r="G314" s="743"/>
      <c r="H314" s="743"/>
      <c r="I314" s="743"/>
      <c r="J314" s="744"/>
    </row>
    <row r="315" spans="1:10" ht="12.75" customHeight="1" x14ac:dyDescent="0.2">
      <c r="A315" s="742"/>
      <c r="B315" s="743"/>
      <c r="C315" s="743"/>
      <c r="D315" s="743"/>
      <c r="E315" s="743"/>
      <c r="F315" s="743"/>
      <c r="G315" s="743"/>
      <c r="H315" s="743"/>
      <c r="I315" s="743"/>
      <c r="J315" s="744"/>
    </row>
    <row r="316" spans="1:10" ht="12.75" customHeight="1" x14ac:dyDescent="0.2">
      <c r="A316" s="742"/>
      <c r="B316" s="743"/>
      <c r="C316" s="743"/>
      <c r="D316" s="743"/>
      <c r="E316" s="743"/>
      <c r="F316" s="743"/>
      <c r="G316" s="743"/>
      <c r="H316" s="743"/>
      <c r="I316" s="743"/>
      <c r="J316" s="744"/>
    </row>
    <row r="317" spans="1:10" ht="12.75" customHeight="1" x14ac:dyDescent="0.2">
      <c r="A317" s="742"/>
      <c r="B317" s="743"/>
      <c r="C317" s="743"/>
      <c r="D317" s="743"/>
      <c r="E317" s="743"/>
      <c r="F317" s="743"/>
      <c r="G317" s="743"/>
      <c r="H317" s="743"/>
      <c r="I317" s="743"/>
      <c r="J317" s="744"/>
    </row>
    <row r="318" spans="1:10" ht="12.75" customHeight="1" x14ac:dyDescent="0.2">
      <c r="A318" s="742"/>
      <c r="B318" s="743"/>
      <c r="C318" s="743"/>
      <c r="D318" s="743"/>
      <c r="E318" s="743"/>
      <c r="F318" s="743"/>
      <c r="G318" s="743"/>
      <c r="H318" s="743"/>
      <c r="I318" s="743"/>
      <c r="J318" s="744"/>
    </row>
    <row r="319" spans="1:10" ht="12.75" customHeight="1" x14ac:dyDescent="0.2">
      <c r="A319" s="742"/>
      <c r="B319" s="743"/>
      <c r="C319" s="743"/>
      <c r="D319" s="743"/>
      <c r="E319" s="743"/>
      <c r="F319" s="743"/>
      <c r="G319" s="743"/>
      <c r="H319" s="743"/>
      <c r="I319" s="743"/>
      <c r="J319" s="744"/>
    </row>
    <row r="320" spans="1:10" ht="12.75" customHeight="1" x14ac:dyDescent="0.2">
      <c r="A320" s="742"/>
      <c r="B320" s="743"/>
      <c r="C320" s="743"/>
      <c r="D320" s="743"/>
      <c r="E320" s="743"/>
      <c r="F320" s="743"/>
      <c r="G320" s="743"/>
      <c r="H320" s="743"/>
      <c r="I320" s="743"/>
      <c r="J320" s="744"/>
    </row>
    <row r="321" spans="1:10" ht="12.75" customHeight="1" x14ac:dyDescent="0.2">
      <c r="A321" s="742"/>
      <c r="B321" s="743"/>
      <c r="C321" s="743"/>
      <c r="D321" s="743"/>
      <c r="E321" s="743"/>
      <c r="F321" s="743"/>
      <c r="G321" s="743"/>
      <c r="H321" s="743"/>
      <c r="I321" s="743"/>
      <c r="J321" s="744"/>
    </row>
    <row r="322" spans="1:10" ht="12.75" customHeight="1" x14ac:dyDescent="0.2">
      <c r="A322" s="742"/>
      <c r="B322" s="743"/>
      <c r="C322" s="743"/>
      <c r="D322" s="743"/>
      <c r="E322" s="743"/>
      <c r="F322" s="743"/>
      <c r="G322" s="743"/>
      <c r="H322" s="743"/>
      <c r="I322" s="743"/>
      <c r="J322" s="744"/>
    </row>
    <row r="323" spans="1:10" ht="12.75" customHeight="1" x14ac:dyDescent="0.2">
      <c r="A323" s="742"/>
      <c r="B323" s="743"/>
      <c r="C323" s="743"/>
      <c r="D323" s="743"/>
      <c r="E323" s="743"/>
      <c r="F323" s="743"/>
      <c r="G323" s="743"/>
      <c r="H323" s="743"/>
      <c r="I323" s="743"/>
      <c r="J323" s="744"/>
    </row>
    <row r="324" spans="1:10" ht="12.75" customHeight="1" x14ac:dyDescent="0.2">
      <c r="A324" s="742"/>
      <c r="B324" s="743"/>
      <c r="C324" s="743"/>
      <c r="D324" s="743"/>
      <c r="E324" s="743"/>
      <c r="F324" s="743"/>
      <c r="G324" s="743"/>
      <c r="H324" s="743"/>
      <c r="I324" s="743"/>
      <c r="J324" s="744"/>
    </row>
    <row r="325" spans="1:10" ht="12.75" customHeight="1" x14ac:dyDescent="0.2">
      <c r="A325" s="742"/>
      <c r="B325" s="743"/>
      <c r="C325" s="743"/>
      <c r="D325" s="743"/>
      <c r="E325" s="743"/>
      <c r="F325" s="743"/>
      <c r="G325" s="743"/>
      <c r="H325" s="743"/>
      <c r="I325" s="743"/>
      <c r="J325" s="744"/>
    </row>
    <row r="326" spans="1:10" ht="12.75" customHeight="1" x14ac:dyDescent="0.2">
      <c r="A326" s="742"/>
      <c r="B326" s="743"/>
      <c r="C326" s="743"/>
      <c r="D326" s="743"/>
      <c r="E326" s="743"/>
      <c r="F326" s="743"/>
      <c r="G326" s="743"/>
      <c r="H326" s="743"/>
      <c r="I326" s="743"/>
      <c r="J326" s="744"/>
    </row>
    <row r="327" spans="1:10" ht="12.75" customHeight="1" x14ac:dyDescent="0.2">
      <c r="A327" s="742"/>
      <c r="B327" s="743"/>
      <c r="C327" s="743"/>
      <c r="D327" s="743"/>
      <c r="E327" s="743"/>
      <c r="F327" s="743"/>
      <c r="G327" s="743"/>
      <c r="H327" s="743"/>
      <c r="I327" s="743"/>
      <c r="J327" s="744"/>
    </row>
    <row r="328" spans="1:10" ht="12.75" customHeight="1" x14ac:dyDescent="0.2">
      <c r="A328" s="742"/>
      <c r="B328" s="743"/>
      <c r="C328" s="743"/>
      <c r="D328" s="743"/>
      <c r="E328" s="743"/>
      <c r="F328" s="743"/>
      <c r="G328" s="743"/>
      <c r="H328" s="743"/>
      <c r="I328" s="743"/>
      <c r="J328" s="744"/>
    </row>
    <row r="329" spans="1:10" ht="12.75" customHeight="1" x14ac:dyDescent="0.2">
      <c r="A329" s="742"/>
      <c r="B329" s="743"/>
      <c r="C329" s="743"/>
      <c r="D329" s="743"/>
      <c r="E329" s="743"/>
      <c r="F329" s="743"/>
      <c r="G329" s="743"/>
      <c r="H329" s="743"/>
      <c r="I329" s="743"/>
      <c r="J329" s="744"/>
    </row>
    <row r="330" spans="1:10" ht="12.75" customHeight="1" x14ac:dyDescent="0.2">
      <c r="A330" s="742"/>
      <c r="B330" s="743"/>
      <c r="C330" s="743"/>
      <c r="D330" s="743"/>
      <c r="E330" s="743"/>
      <c r="F330" s="743"/>
      <c r="G330" s="743"/>
      <c r="H330" s="743"/>
      <c r="I330" s="743"/>
      <c r="J330" s="744"/>
    </row>
    <row r="331" spans="1:10" ht="12.75" customHeight="1" x14ac:dyDescent="0.2">
      <c r="A331" s="742"/>
      <c r="B331" s="743"/>
      <c r="C331" s="743"/>
      <c r="D331" s="743"/>
      <c r="E331" s="743"/>
      <c r="F331" s="743"/>
      <c r="G331" s="743"/>
      <c r="H331" s="743"/>
      <c r="I331" s="743"/>
      <c r="J331" s="744"/>
    </row>
    <row r="332" spans="1:10" ht="12.75" customHeight="1" x14ac:dyDescent="0.2">
      <c r="A332" s="742"/>
      <c r="B332" s="743"/>
      <c r="C332" s="743"/>
      <c r="D332" s="743"/>
      <c r="E332" s="743"/>
      <c r="F332" s="743"/>
      <c r="G332" s="743"/>
      <c r="H332" s="743"/>
      <c r="I332" s="743"/>
      <c r="J332" s="744"/>
    </row>
    <row r="333" spans="1:10" ht="12.75" customHeight="1" x14ac:dyDescent="0.2">
      <c r="A333" s="742"/>
      <c r="B333" s="743"/>
      <c r="C333" s="743"/>
      <c r="D333" s="743"/>
      <c r="E333" s="743"/>
      <c r="F333" s="743"/>
      <c r="G333" s="743"/>
      <c r="H333" s="743"/>
      <c r="I333" s="743"/>
      <c r="J333" s="744"/>
    </row>
    <row r="334" spans="1:10" ht="12.75" customHeight="1" x14ac:dyDescent="0.2">
      <c r="A334" s="742"/>
      <c r="B334" s="743"/>
      <c r="C334" s="743"/>
      <c r="D334" s="743"/>
      <c r="E334" s="743"/>
      <c r="F334" s="743"/>
      <c r="G334" s="743"/>
      <c r="H334" s="743"/>
      <c r="I334" s="743"/>
      <c r="J334" s="744"/>
    </row>
    <row r="335" spans="1:10" ht="12.75" customHeight="1" x14ac:dyDescent="0.2">
      <c r="A335" s="742"/>
      <c r="B335" s="743"/>
      <c r="C335" s="743"/>
      <c r="D335" s="743"/>
      <c r="E335" s="743"/>
      <c r="F335" s="743"/>
      <c r="G335" s="743"/>
      <c r="H335" s="743"/>
      <c r="I335" s="743"/>
      <c r="J335" s="744"/>
    </row>
    <row r="336" spans="1:10" ht="12.75" customHeight="1" x14ac:dyDescent="0.2">
      <c r="A336" s="742"/>
      <c r="B336" s="743"/>
      <c r="C336" s="743"/>
      <c r="D336" s="743"/>
      <c r="E336" s="743"/>
      <c r="F336" s="743"/>
      <c r="G336" s="743"/>
      <c r="H336" s="743"/>
      <c r="I336" s="743"/>
      <c r="J336" s="744"/>
    </row>
    <row r="337" spans="1:10" s="61" customFormat="1" x14ac:dyDescent="0.2">
      <c r="A337" s="55"/>
      <c r="B337" s="56"/>
      <c r="C337" s="57"/>
      <c r="D337" s="58"/>
      <c r="E337" s="58"/>
      <c r="F337" s="58"/>
      <c r="G337" s="58"/>
      <c r="H337" s="59"/>
      <c r="I337" s="57"/>
      <c r="J337" s="60"/>
    </row>
    <row r="338" spans="1:10" s="61" customFormat="1" ht="25.5" customHeight="1" x14ac:dyDescent="0.2">
      <c r="A338" s="730" t="s">
        <v>108</v>
      </c>
      <c r="B338" s="731"/>
      <c r="C338" s="731"/>
      <c r="D338" s="731"/>
      <c r="E338" s="731"/>
      <c r="F338" s="731"/>
      <c r="G338" s="731"/>
      <c r="H338" s="731"/>
      <c r="I338" s="731"/>
      <c r="J338" s="732"/>
    </row>
    <row r="339" spans="1:10" s="61" customFormat="1" ht="12.75" customHeight="1" x14ac:dyDescent="0.2">
      <c r="A339" s="475" t="s">
        <v>178</v>
      </c>
      <c r="B339" s="476"/>
      <c r="C339" s="476"/>
      <c r="D339" s="476"/>
      <c r="E339" s="476"/>
      <c r="F339" s="746">
        <v>0.04</v>
      </c>
      <c r="G339" s="746"/>
      <c r="H339" s="746"/>
      <c r="I339" s="746"/>
      <c r="J339" s="747"/>
    </row>
    <row r="340" spans="1:10" ht="12.75" customHeight="1" x14ac:dyDescent="0.2">
      <c r="A340" s="721" t="s">
        <v>370</v>
      </c>
      <c r="B340" s="722"/>
      <c r="C340" s="722"/>
      <c r="D340" s="722"/>
      <c r="E340" s="722"/>
      <c r="F340" s="722"/>
      <c r="G340" s="722"/>
      <c r="H340" s="722"/>
      <c r="I340" s="722"/>
      <c r="J340" s="723"/>
    </row>
    <row r="341" spans="1:10" ht="12.75" customHeight="1" x14ac:dyDescent="0.2">
      <c r="A341" s="724"/>
      <c r="B341" s="725"/>
      <c r="C341" s="725"/>
      <c r="D341" s="725"/>
      <c r="E341" s="725"/>
      <c r="F341" s="725"/>
      <c r="G341" s="725"/>
      <c r="H341" s="725"/>
      <c r="I341" s="725"/>
      <c r="J341" s="726"/>
    </row>
    <row r="342" spans="1:10" ht="12.75" customHeight="1" x14ac:dyDescent="0.2">
      <c r="A342" s="724"/>
      <c r="B342" s="725"/>
      <c r="C342" s="725"/>
      <c r="D342" s="725"/>
      <c r="E342" s="725"/>
      <c r="F342" s="725"/>
      <c r="G342" s="725"/>
      <c r="H342" s="725"/>
      <c r="I342" s="725"/>
      <c r="J342" s="726"/>
    </row>
    <row r="343" spans="1:10" ht="15" customHeight="1" x14ac:dyDescent="0.2">
      <c r="A343" s="727"/>
      <c r="B343" s="728"/>
      <c r="C343" s="728"/>
      <c r="D343" s="728"/>
      <c r="E343" s="728"/>
      <c r="F343" s="728"/>
      <c r="G343" s="728"/>
      <c r="H343" s="728"/>
      <c r="I343" s="728"/>
      <c r="J343" s="729"/>
    </row>
    <row r="344" spans="1:10" ht="12.75" customHeight="1" x14ac:dyDescent="0.2">
      <c r="A344" s="742" t="s">
        <v>1152</v>
      </c>
      <c r="B344" s="743"/>
      <c r="C344" s="743"/>
      <c r="D344" s="743"/>
      <c r="E344" s="743"/>
      <c r="F344" s="743"/>
      <c r="G344" s="743"/>
      <c r="H344" s="743"/>
      <c r="I344" s="743"/>
      <c r="J344" s="744"/>
    </row>
    <row r="345" spans="1:10" ht="12.75" customHeight="1" x14ac:dyDescent="0.2">
      <c r="A345" s="742"/>
      <c r="B345" s="743"/>
      <c r="C345" s="743"/>
      <c r="D345" s="743"/>
      <c r="E345" s="743"/>
      <c r="F345" s="743"/>
      <c r="G345" s="743"/>
      <c r="H345" s="743"/>
      <c r="I345" s="743"/>
      <c r="J345" s="744"/>
    </row>
    <row r="346" spans="1:10" ht="12.75" customHeight="1" x14ac:dyDescent="0.2">
      <c r="A346" s="742"/>
      <c r="B346" s="743"/>
      <c r="C346" s="743"/>
      <c r="D346" s="743"/>
      <c r="E346" s="743"/>
      <c r="F346" s="743"/>
      <c r="G346" s="743"/>
      <c r="H346" s="743"/>
      <c r="I346" s="743"/>
      <c r="J346" s="744"/>
    </row>
    <row r="347" spans="1:10" ht="12.75" customHeight="1" x14ac:dyDescent="0.2">
      <c r="A347" s="742"/>
      <c r="B347" s="743"/>
      <c r="C347" s="743"/>
      <c r="D347" s="743"/>
      <c r="E347" s="743"/>
      <c r="F347" s="743"/>
      <c r="G347" s="743"/>
      <c r="H347" s="743"/>
      <c r="I347" s="743"/>
      <c r="J347" s="744"/>
    </row>
    <row r="348" spans="1:10" ht="12.75" customHeight="1" x14ac:dyDescent="0.2">
      <c r="A348" s="742"/>
      <c r="B348" s="743"/>
      <c r="C348" s="743"/>
      <c r="D348" s="743"/>
      <c r="E348" s="743"/>
      <c r="F348" s="743"/>
      <c r="G348" s="743"/>
      <c r="H348" s="743"/>
      <c r="I348" s="743"/>
      <c r="J348" s="744"/>
    </row>
    <row r="349" spans="1:10" ht="12.75" customHeight="1" x14ac:dyDescent="0.2">
      <c r="A349" s="742"/>
      <c r="B349" s="743"/>
      <c r="C349" s="743"/>
      <c r="D349" s="743"/>
      <c r="E349" s="743"/>
      <c r="F349" s="743"/>
      <c r="G349" s="743"/>
      <c r="H349" s="743"/>
      <c r="I349" s="743"/>
      <c r="J349" s="744"/>
    </row>
    <row r="350" spans="1:10" ht="12.75" customHeight="1" x14ac:dyDescent="0.2">
      <c r="A350" s="742"/>
      <c r="B350" s="743"/>
      <c r="C350" s="743"/>
      <c r="D350" s="743"/>
      <c r="E350" s="743"/>
      <c r="F350" s="743"/>
      <c r="G350" s="743"/>
      <c r="H350" s="743"/>
      <c r="I350" s="743"/>
      <c r="J350" s="744"/>
    </row>
    <row r="351" spans="1:10" ht="12.75" customHeight="1" x14ac:dyDescent="0.2">
      <c r="A351" s="742"/>
      <c r="B351" s="743"/>
      <c r="C351" s="743"/>
      <c r="D351" s="743"/>
      <c r="E351" s="743"/>
      <c r="F351" s="743"/>
      <c r="G351" s="743"/>
      <c r="H351" s="743"/>
      <c r="I351" s="743"/>
      <c r="J351" s="744"/>
    </row>
    <row r="352" spans="1:10" ht="12.75" customHeight="1" x14ac:dyDescent="0.2">
      <c r="A352" s="742"/>
      <c r="B352" s="743"/>
      <c r="C352" s="743"/>
      <c r="D352" s="743"/>
      <c r="E352" s="743"/>
      <c r="F352" s="743"/>
      <c r="G352" s="743"/>
      <c r="H352" s="743"/>
      <c r="I352" s="743"/>
      <c r="J352" s="744"/>
    </row>
    <row r="353" spans="1:10" ht="12.75" customHeight="1" x14ac:dyDescent="0.2">
      <c r="A353" s="742"/>
      <c r="B353" s="743"/>
      <c r="C353" s="743"/>
      <c r="D353" s="743"/>
      <c r="E353" s="743"/>
      <c r="F353" s="743"/>
      <c r="G353" s="743"/>
      <c r="H353" s="743"/>
      <c r="I353" s="743"/>
      <c r="J353" s="744"/>
    </row>
    <row r="354" spans="1:10" ht="12.75" customHeight="1" x14ac:dyDescent="0.2">
      <c r="A354" s="742"/>
      <c r="B354" s="743"/>
      <c r="C354" s="743"/>
      <c r="D354" s="743"/>
      <c r="E354" s="743"/>
      <c r="F354" s="743"/>
      <c r="G354" s="743"/>
      <c r="H354" s="743"/>
      <c r="I354" s="743"/>
      <c r="J354" s="744"/>
    </row>
    <row r="355" spans="1:10" ht="12.75" customHeight="1" x14ac:dyDescent="0.2">
      <c r="A355" s="742"/>
      <c r="B355" s="743"/>
      <c r="C355" s="743"/>
      <c r="D355" s="743"/>
      <c r="E355" s="743"/>
      <c r="F355" s="743"/>
      <c r="G355" s="743"/>
      <c r="H355" s="743"/>
      <c r="I355" s="743"/>
      <c r="J355" s="744"/>
    </row>
    <row r="356" spans="1:10" ht="12.75" customHeight="1" x14ac:dyDescent="0.2">
      <c r="A356" s="742"/>
      <c r="B356" s="743"/>
      <c r="C356" s="743"/>
      <c r="D356" s="743"/>
      <c r="E356" s="743"/>
      <c r="F356" s="743"/>
      <c r="G356" s="743"/>
      <c r="H356" s="743"/>
      <c r="I356" s="743"/>
      <c r="J356" s="744"/>
    </row>
    <row r="357" spans="1:10" ht="12.75" customHeight="1" x14ac:dyDescent="0.2">
      <c r="A357" s="742"/>
      <c r="B357" s="743"/>
      <c r="C357" s="743"/>
      <c r="D357" s="743"/>
      <c r="E357" s="743"/>
      <c r="F357" s="743"/>
      <c r="G357" s="743"/>
      <c r="H357" s="743"/>
      <c r="I357" s="743"/>
      <c r="J357" s="744"/>
    </row>
    <row r="358" spans="1:10" ht="12.75" customHeight="1" x14ac:dyDescent="0.2">
      <c r="A358" s="742"/>
      <c r="B358" s="743"/>
      <c r="C358" s="743"/>
      <c r="D358" s="743"/>
      <c r="E358" s="743"/>
      <c r="F358" s="743"/>
      <c r="G358" s="743"/>
      <c r="H358" s="743"/>
      <c r="I358" s="743"/>
      <c r="J358" s="744"/>
    </row>
    <row r="359" spans="1:10" ht="12.75" customHeight="1" x14ac:dyDescent="0.2">
      <c r="A359" s="742"/>
      <c r="B359" s="743"/>
      <c r="C359" s="743"/>
      <c r="D359" s="743"/>
      <c r="E359" s="743"/>
      <c r="F359" s="743"/>
      <c r="G359" s="743"/>
      <c r="H359" s="743"/>
      <c r="I359" s="743"/>
      <c r="J359" s="744"/>
    </row>
    <row r="360" spans="1:10" ht="12.75" customHeight="1" x14ac:dyDescent="0.2">
      <c r="A360" s="742"/>
      <c r="B360" s="743"/>
      <c r="C360" s="743"/>
      <c r="D360" s="743"/>
      <c r="E360" s="743"/>
      <c r="F360" s="743"/>
      <c r="G360" s="743"/>
      <c r="H360" s="743"/>
      <c r="I360" s="743"/>
      <c r="J360" s="744"/>
    </row>
    <row r="361" spans="1:10" ht="12.75" customHeight="1" x14ac:dyDescent="0.2">
      <c r="A361" s="742"/>
      <c r="B361" s="743"/>
      <c r="C361" s="743"/>
      <c r="D361" s="743"/>
      <c r="E361" s="743"/>
      <c r="F361" s="743"/>
      <c r="G361" s="743"/>
      <c r="H361" s="743"/>
      <c r="I361" s="743"/>
      <c r="J361" s="744"/>
    </row>
    <row r="362" spans="1:10" ht="12.75" customHeight="1" x14ac:dyDescent="0.2">
      <c r="A362" s="742"/>
      <c r="B362" s="743"/>
      <c r="C362" s="743"/>
      <c r="D362" s="743"/>
      <c r="E362" s="743"/>
      <c r="F362" s="743"/>
      <c r="G362" s="743"/>
      <c r="H362" s="743"/>
      <c r="I362" s="743"/>
      <c r="J362" s="744"/>
    </row>
    <row r="363" spans="1:10" ht="12.75" customHeight="1" x14ac:dyDescent="0.2">
      <c r="A363" s="742"/>
      <c r="B363" s="743"/>
      <c r="C363" s="743"/>
      <c r="D363" s="743"/>
      <c r="E363" s="743"/>
      <c r="F363" s="743"/>
      <c r="G363" s="743"/>
      <c r="H363" s="743"/>
      <c r="I363" s="743"/>
      <c r="J363" s="744"/>
    </row>
    <row r="364" spans="1:10" ht="12.75" customHeight="1" x14ac:dyDescent="0.2">
      <c r="A364" s="742"/>
      <c r="B364" s="743"/>
      <c r="C364" s="743"/>
      <c r="D364" s="743"/>
      <c r="E364" s="743"/>
      <c r="F364" s="743"/>
      <c r="G364" s="743"/>
      <c r="H364" s="743"/>
      <c r="I364" s="743"/>
      <c r="J364" s="744"/>
    </row>
    <row r="365" spans="1:10" ht="12.75" customHeight="1" x14ac:dyDescent="0.2">
      <c r="A365" s="742"/>
      <c r="B365" s="743"/>
      <c r="C365" s="743"/>
      <c r="D365" s="743"/>
      <c r="E365" s="743"/>
      <c r="F365" s="743"/>
      <c r="G365" s="743"/>
      <c r="H365" s="743"/>
      <c r="I365" s="743"/>
      <c r="J365" s="744"/>
    </row>
    <row r="366" spans="1:10" ht="12.75" customHeight="1" x14ac:dyDescent="0.2">
      <c r="A366" s="742"/>
      <c r="B366" s="743"/>
      <c r="C366" s="743"/>
      <c r="D366" s="743"/>
      <c r="E366" s="743"/>
      <c r="F366" s="743"/>
      <c r="G366" s="743"/>
      <c r="H366" s="743"/>
      <c r="I366" s="743"/>
      <c r="J366" s="744"/>
    </row>
    <row r="367" spans="1:10" ht="12.75" customHeight="1" x14ac:dyDescent="0.2">
      <c r="A367" s="742"/>
      <c r="B367" s="743"/>
      <c r="C367" s="743"/>
      <c r="D367" s="743"/>
      <c r="E367" s="743"/>
      <c r="F367" s="743"/>
      <c r="G367" s="743"/>
      <c r="H367" s="743"/>
      <c r="I367" s="743"/>
      <c r="J367" s="744"/>
    </row>
    <row r="368" spans="1:10" ht="12.75" customHeight="1" x14ac:dyDescent="0.2">
      <c r="A368" s="742"/>
      <c r="B368" s="743"/>
      <c r="C368" s="743"/>
      <c r="D368" s="743"/>
      <c r="E368" s="743"/>
      <c r="F368" s="743"/>
      <c r="G368" s="743"/>
      <c r="H368" s="743"/>
      <c r="I368" s="743"/>
      <c r="J368" s="744"/>
    </row>
    <row r="369" spans="1:10" ht="12.75" customHeight="1" x14ac:dyDescent="0.2">
      <c r="A369" s="742"/>
      <c r="B369" s="743"/>
      <c r="C369" s="743"/>
      <c r="D369" s="743"/>
      <c r="E369" s="743"/>
      <c r="F369" s="743"/>
      <c r="G369" s="743"/>
      <c r="H369" s="743"/>
      <c r="I369" s="743"/>
      <c r="J369" s="744"/>
    </row>
    <row r="370" spans="1:10" ht="12.75" customHeight="1" x14ac:dyDescent="0.2">
      <c r="A370" s="742"/>
      <c r="B370" s="743"/>
      <c r="C370" s="743"/>
      <c r="D370" s="743"/>
      <c r="E370" s="743"/>
      <c r="F370" s="743"/>
      <c r="G370" s="743"/>
      <c r="H370" s="743"/>
      <c r="I370" s="743"/>
      <c r="J370" s="744"/>
    </row>
    <row r="371" spans="1:10" ht="12.75" customHeight="1" x14ac:dyDescent="0.2">
      <c r="A371" s="742"/>
      <c r="B371" s="743"/>
      <c r="C371" s="743"/>
      <c r="D371" s="743"/>
      <c r="E371" s="743"/>
      <c r="F371" s="743"/>
      <c r="G371" s="743"/>
      <c r="H371" s="743"/>
      <c r="I371" s="743"/>
      <c r="J371" s="744"/>
    </row>
    <row r="372" spans="1:10" ht="12.75" customHeight="1" x14ac:dyDescent="0.2">
      <c r="A372" s="742"/>
      <c r="B372" s="743"/>
      <c r="C372" s="743"/>
      <c r="D372" s="743"/>
      <c r="E372" s="743"/>
      <c r="F372" s="743"/>
      <c r="G372" s="743"/>
      <c r="H372" s="743"/>
      <c r="I372" s="743"/>
      <c r="J372" s="744"/>
    </row>
    <row r="373" spans="1:10" ht="12.75" customHeight="1" x14ac:dyDescent="0.2">
      <c r="A373" s="742"/>
      <c r="B373" s="743"/>
      <c r="C373" s="743"/>
      <c r="D373" s="743"/>
      <c r="E373" s="743"/>
      <c r="F373" s="743"/>
      <c r="G373" s="743"/>
      <c r="H373" s="743"/>
      <c r="I373" s="743"/>
      <c r="J373" s="744"/>
    </row>
    <row r="374" spans="1:10" ht="12.75" customHeight="1" x14ac:dyDescent="0.2">
      <c r="A374" s="742"/>
      <c r="B374" s="743"/>
      <c r="C374" s="743"/>
      <c r="D374" s="743"/>
      <c r="E374" s="743"/>
      <c r="F374" s="743"/>
      <c r="G374" s="743"/>
      <c r="H374" s="743"/>
      <c r="I374" s="743"/>
      <c r="J374" s="744"/>
    </row>
    <row r="375" spans="1:10" ht="12.75" customHeight="1" x14ac:dyDescent="0.2">
      <c r="A375" s="742"/>
      <c r="B375" s="743"/>
      <c r="C375" s="743"/>
      <c r="D375" s="743"/>
      <c r="E375" s="743"/>
      <c r="F375" s="743"/>
      <c r="G375" s="743"/>
      <c r="H375" s="743"/>
      <c r="I375" s="743"/>
      <c r="J375" s="744"/>
    </row>
    <row r="376" spans="1:10" ht="12.75" customHeight="1" x14ac:dyDescent="0.2">
      <c r="A376" s="742"/>
      <c r="B376" s="743"/>
      <c r="C376" s="743"/>
      <c r="D376" s="743"/>
      <c r="E376" s="743"/>
      <c r="F376" s="743"/>
      <c r="G376" s="743"/>
      <c r="H376" s="743"/>
      <c r="I376" s="743"/>
      <c r="J376" s="744"/>
    </row>
    <row r="377" spans="1:10" ht="12.75" customHeight="1" x14ac:dyDescent="0.2">
      <c r="A377" s="742"/>
      <c r="B377" s="743"/>
      <c r="C377" s="743"/>
      <c r="D377" s="743"/>
      <c r="E377" s="743"/>
      <c r="F377" s="743"/>
      <c r="G377" s="743"/>
      <c r="H377" s="743"/>
      <c r="I377" s="743"/>
      <c r="J377" s="744"/>
    </row>
    <row r="378" spans="1:10" ht="12.75" customHeight="1" x14ac:dyDescent="0.2">
      <c r="A378" s="742"/>
      <c r="B378" s="743"/>
      <c r="C378" s="743"/>
      <c r="D378" s="743"/>
      <c r="E378" s="743"/>
      <c r="F378" s="743"/>
      <c r="G378" s="743"/>
      <c r="H378" s="743"/>
      <c r="I378" s="743"/>
      <c r="J378" s="744"/>
    </row>
    <row r="379" spans="1:10" s="61" customFormat="1" x14ac:dyDescent="0.2">
      <c r="A379" s="55"/>
      <c r="B379" s="56"/>
      <c r="C379" s="57"/>
      <c r="D379" s="58"/>
      <c r="E379" s="58"/>
      <c r="F379" s="58"/>
      <c r="G379" s="58"/>
      <c r="H379" s="59"/>
      <c r="I379" s="57"/>
      <c r="J379" s="60"/>
    </row>
    <row r="380" spans="1:10" s="61" customFormat="1" ht="25.5" customHeight="1" x14ac:dyDescent="0.2">
      <c r="A380" s="730" t="s">
        <v>176</v>
      </c>
      <c r="B380" s="731"/>
      <c r="C380" s="731"/>
      <c r="D380" s="731"/>
      <c r="E380" s="731"/>
      <c r="F380" s="731"/>
      <c r="G380" s="731"/>
      <c r="H380" s="731"/>
      <c r="I380" s="731"/>
      <c r="J380" s="732"/>
    </row>
    <row r="381" spans="1:10" s="61" customFormat="1" ht="12.75" customHeight="1" x14ac:dyDescent="0.2">
      <c r="A381" s="475" t="s">
        <v>178</v>
      </c>
      <c r="B381" s="476"/>
      <c r="C381" s="476"/>
      <c r="D381" s="476"/>
      <c r="E381" s="476"/>
      <c r="F381" s="746"/>
      <c r="G381" s="746"/>
      <c r="H381" s="746"/>
      <c r="I381" s="746"/>
      <c r="J381" s="747"/>
    </row>
    <row r="382" spans="1:10" ht="12.75" customHeight="1" x14ac:dyDescent="0.2">
      <c r="A382" s="721" t="s">
        <v>370</v>
      </c>
      <c r="B382" s="722"/>
      <c r="C382" s="722"/>
      <c r="D382" s="722"/>
      <c r="E382" s="722"/>
      <c r="F382" s="722"/>
      <c r="G382" s="722"/>
      <c r="H382" s="722"/>
      <c r="I382" s="722"/>
      <c r="J382" s="723"/>
    </row>
    <row r="383" spans="1:10" ht="12.75" customHeight="1" x14ac:dyDescent="0.2">
      <c r="A383" s="724"/>
      <c r="B383" s="725"/>
      <c r="C383" s="725"/>
      <c r="D383" s="725"/>
      <c r="E383" s="725"/>
      <c r="F383" s="725"/>
      <c r="G383" s="725"/>
      <c r="H383" s="725"/>
      <c r="I383" s="725"/>
      <c r="J383" s="726"/>
    </row>
    <row r="384" spans="1:10" ht="12.75" customHeight="1" x14ac:dyDescent="0.2">
      <c r="A384" s="724"/>
      <c r="B384" s="725"/>
      <c r="C384" s="725"/>
      <c r="D384" s="725"/>
      <c r="E384" s="725"/>
      <c r="F384" s="725"/>
      <c r="G384" s="725"/>
      <c r="H384" s="725"/>
      <c r="I384" s="725"/>
      <c r="J384" s="726"/>
    </row>
    <row r="385" spans="1:10" ht="15" customHeight="1" x14ac:dyDescent="0.2">
      <c r="A385" s="727"/>
      <c r="B385" s="728"/>
      <c r="C385" s="728"/>
      <c r="D385" s="728"/>
      <c r="E385" s="728"/>
      <c r="F385" s="728"/>
      <c r="G385" s="728"/>
      <c r="H385" s="728"/>
      <c r="I385" s="728"/>
      <c r="J385" s="729"/>
    </row>
    <row r="386" spans="1:10" ht="12.75" customHeight="1" x14ac:dyDescent="0.2">
      <c r="A386" s="742"/>
      <c r="B386" s="743"/>
      <c r="C386" s="743"/>
      <c r="D386" s="743"/>
      <c r="E386" s="743"/>
      <c r="F386" s="743"/>
      <c r="G386" s="743"/>
      <c r="H386" s="743"/>
      <c r="I386" s="743"/>
      <c r="J386" s="744"/>
    </row>
    <row r="387" spans="1:10" ht="12.75" customHeight="1" x14ac:dyDescent="0.2">
      <c r="A387" s="742"/>
      <c r="B387" s="743"/>
      <c r="C387" s="743"/>
      <c r="D387" s="743"/>
      <c r="E387" s="743"/>
      <c r="F387" s="743"/>
      <c r="G387" s="743"/>
      <c r="H387" s="743"/>
      <c r="I387" s="743"/>
      <c r="J387" s="744"/>
    </row>
    <row r="388" spans="1:10" ht="12.75" customHeight="1" x14ac:dyDescent="0.2">
      <c r="A388" s="742"/>
      <c r="B388" s="743"/>
      <c r="C388" s="743"/>
      <c r="D388" s="743"/>
      <c r="E388" s="743"/>
      <c r="F388" s="743"/>
      <c r="G388" s="743"/>
      <c r="H388" s="743"/>
      <c r="I388" s="743"/>
      <c r="J388" s="744"/>
    </row>
    <row r="389" spans="1:10" ht="12.75" customHeight="1" x14ac:dyDescent="0.2">
      <c r="A389" s="742"/>
      <c r="B389" s="743"/>
      <c r="C389" s="743"/>
      <c r="D389" s="743"/>
      <c r="E389" s="743"/>
      <c r="F389" s="743"/>
      <c r="G389" s="743"/>
      <c r="H389" s="743"/>
      <c r="I389" s="743"/>
      <c r="J389" s="744"/>
    </row>
    <row r="390" spans="1:10" ht="12.75" customHeight="1" x14ac:dyDescent="0.2">
      <c r="A390" s="742"/>
      <c r="B390" s="743"/>
      <c r="C390" s="743"/>
      <c r="D390" s="743"/>
      <c r="E390" s="743"/>
      <c r="F390" s="743"/>
      <c r="G390" s="743"/>
      <c r="H390" s="743"/>
      <c r="I390" s="743"/>
      <c r="J390" s="744"/>
    </row>
    <row r="391" spans="1:10" ht="12.75" customHeight="1" x14ac:dyDescent="0.2">
      <c r="A391" s="742"/>
      <c r="B391" s="743"/>
      <c r="C391" s="743"/>
      <c r="D391" s="743"/>
      <c r="E391" s="743"/>
      <c r="F391" s="743"/>
      <c r="G391" s="743"/>
      <c r="H391" s="743"/>
      <c r="I391" s="743"/>
      <c r="J391" s="744"/>
    </row>
    <row r="392" spans="1:10" ht="12.75" customHeight="1" x14ac:dyDescent="0.2">
      <c r="A392" s="742"/>
      <c r="B392" s="743"/>
      <c r="C392" s="743"/>
      <c r="D392" s="743"/>
      <c r="E392" s="743"/>
      <c r="F392" s="743"/>
      <c r="G392" s="743"/>
      <c r="H392" s="743"/>
      <c r="I392" s="743"/>
      <c r="J392" s="744"/>
    </row>
    <row r="393" spans="1:10" ht="12.75" customHeight="1" x14ac:dyDescent="0.2">
      <c r="A393" s="742"/>
      <c r="B393" s="743"/>
      <c r="C393" s="743"/>
      <c r="D393" s="743"/>
      <c r="E393" s="743"/>
      <c r="F393" s="743"/>
      <c r="G393" s="743"/>
      <c r="H393" s="743"/>
      <c r="I393" s="743"/>
      <c r="J393" s="744"/>
    </row>
    <row r="394" spans="1:10" ht="12.75" customHeight="1" x14ac:dyDescent="0.2">
      <c r="A394" s="742"/>
      <c r="B394" s="743"/>
      <c r="C394" s="743"/>
      <c r="D394" s="743"/>
      <c r="E394" s="743"/>
      <c r="F394" s="743"/>
      <c r="G394" s="743"/>
      <c r="H394" s="743"/>
      <c r="I394" s="743"/>
      <c r="J394" s="744"/>
    </row>
    <row r="395" spans="1:10" ht="12.75" customHeight="1" x14ac:dyDescent="0.2">
      <c r="A395" s="742"/>
      <c r="B395" s="743"/>
      <c r="C395" s="743"/>
      <c r="D395" s="743"/>
      <c r="E395" s="743"/>
      <c r="F395" s="743"/>
      <c r="G395" s="743"/>
      <c r="H395" s="743"/>
      <c r="I395" s="743"/>
      <c r="J395" s="744"/>
    </row>
    <row r="396" spans="1:10" ht="12.75" customHeight="1" x14ac:dyDescent="0.2">
      <c r="A396" s="742"/>
      <c r="B396" s="743"/>
      <c r="C396" s="743"/>
      <c r="D396" s="743"/>
      <c r="E396" s="743"/>
      <c r="F396" s="743"/>
      <c r="G396" s="743"/>
      <c r="H396" s="743"/>
      <c r="I396" s="743"/>
      <c r="J396" s="744"/>
    </row>
    <row r="397" spans="1:10" ht="12.75" customHeight="1" x14ac:dyDescent="0.2">
      <c r="A397" s="742"/>
      <c r="B397" s="743"/>
      <c r="C397" s="743"/>
      <c r="D397" s="743"/>
      <c r="E397" s="743"/>
      <c r="F397" s="743"/>
      <c r="G397" s="743"/>
      <c r="H397" s="743"/>
      <c r="I397" s="743"/>
      <c r="J397" s="744"/>
    </row>
    <row r="398" spans="1:10" ht="12.75" customHeight="1" x14ac:dyDescent="0.2">
      <c r="A398" s="742"/>
      <c r="B398" s="743"/>
      <c r="C398" s="743"/>
      <c r="D398" s="743"/>
      <c r="E398" s="743"/>
      <c r="F398" s="743"/>
      <c r="G398" s="743"/>
      <c r="H398" s="743"/>
      <c r="I398" s="743"/>
      <c r="J398" s="744"/>
    </row>
    <row r="399" spans="1:10" ht="12.75" customHeight="1" x14ac:dyDescent="0.2">
      <c r="A399" s="742"/>
      <c r="B399" s="743"/>
      <c r="C399" s="743"/>
      <c r="D399" s="743"/>
      <c r="E399" s="743"/>
      <c r="F399" s="743"/>
      <c r="G399" s="743"/>
      <c r="H399" s="743"/>
      <c r="I399" s="743"/>
      <c r="J399" s="744"/>
    </row>
    <row r="400" spans="1:10" ht="12.75" customHeight="1" x14ac:dyDescent="0.2">
      <c r="A400" s="742"/>
      <c r="B400" s="743"/>
      <c r="C400" s="743"/>
      <c r="D400" s="743"/>
      <c r="E400" s="743"/>
      <c r="F400" s="743"/>
      <c r="G400" s="743"/>
      <c r="H400" s="743"/>
      <c r="I400" s="743"/>
      <c r="J400" s="744"/>
    </row>
    <row r="401" spans="1:10" ht="12.75" customHeight="1" x14ac:dyDescent="0.2">
      <c r="A401" s="742"/>
      <c r="B401" s="743"/>
      <c r="C401" s="743"/>
      <c r="D401" s="743"/>
      <c r="E401" s="743"/>
      <c r="F401" s="743"/>
      <c r="G401" s="743"/>
      <c r="H401" s="743"/>
      <c r="I401" s="743"/>
      <c r="J401" s="744"/>
    </row>
    <row r="402" spans="1:10" ht="12.75" customHeight="1" x14ac:dyDescent="0.2">
      <c r="A402" s="742"/>
      <c r="B402" s="743"/>
      <c r="C402" s="743"/>
      <c r="D402" s="743"/>
      <c r="E402" s="743"/>
      <c r="F402" s="743"/>
      <c r="G402" s="743"/>
      <c r="H402" s="743"/>
      <c r="I402" s="743"/>
      <c r="J402" s="744"/>
    </row>
    <row r="403" spans="1:10" ht="12.75" customHeight="1" x14ac:dyDescent="0.2">
      <c r="A403" s="742"/>
      <c r="B403" s="743"/>
      <c r="C403" s="743"/>
      <c r="D403" s="743"/>
      <c r="E403" s="743"/>
      <c r="F403" s="743"/>
      <c r="G403" s="743"/>
      <c r="H403" s="743"/>
      <c r="I403" s="743"/>
      <c r="J403" s="744"/>
    </row>
    <row r="404" spans="1:10" ht="12.75" customHeight="1" x14ac:dyDescent="0.2">
      <c r="A404" s="742"/>
      <c r="B404" s="743"/>
      <c r="C404" s="743"/>
      <c r="D404" s="743"/>
      <c r="E404" s="743"/>
      <c r="F404" s="743"/>
      <c r="G404" s="743"/>
      <c r="H404" s="743"/>
      <c r="I404" s="743"/>
      <c r="J404" s="744"/>
    </row>
    <row r="405" spans="1:10" ht="12.75" customHeight="1" x14ac:dyDescent="0.2">
      <c r="A405" s="742"/>
      <c r="B405" s="743"/>
      <c r="C405" s="743"/>
      <c r="D405" s="743"/>
      <c r="E405" s="743"/>
      <c r="F405" s="743"/>
      <c r="G405" s="743"/>
      <c r="H405" s="743"/>
      <c r="I405" s="743"/>
      <c r="J405" s="744"/>
    </row>
    <row r="406" spans="1:10" ht="12.75" customHeight="1" x14ac:dyDescent="0.2">
      <c r="A406" s="742"/>
      <c r="B406" s="743"/>
      <c r="C406" s="743"/>
      <c r="D406" s="743"/>
      <c r="E406" s="743"/>
      <c r="F406" s="743"/>
      <c r="G406" s="743"/>
      <c r="H406" s="743"/>
      <c r="I406" s="743"/>
      <c r="J406" s="744"/>
    </row>
    <row r="407" spans="1:10" ht="12.75" customHeight="1" x14ac:dyDescent="0.2">
      <c r="A407" s="742"/>
      <c r="B407" s="743"/>
      <c r="C407" s="743"/>
      <c r="D407" s="743"/>
      <c r="E407" s="743"/>
      <c r="F407" s="743"/>
      <c r="G407" s="743"/>
      <c r="H407" s="743"/>
      <c r="I407" s="743"/>
      <c r="J407" s="744"/>
    </row>
    <row r="408" spans="1:10" ht="12.75" customHeight="1" x14ac:dyDescent="0.2">
      <c r="A408" s="742"/>
      <c r="B408" s="743"/>
      <c r="C408" s="743"/>
      <c r="D408" s="743"/>
      <c r="E408" s="743"/>
      <c r="F408" s="743"/>
      <c r="G408" s="743"/>
      <c r="H408" s="743"/>
      <c r="I408" s="743"/>
      <c r="J408" s="744"/>
    </row>
    <row r="409" spans="1:10" ht="12.75" customHeight="1" x14ac:dyDescent="0.2">
      <c r="A409" s="742"/>
      <c r="B409" s="743"/>
      <c r="C409" s="743"/>
      <c r="D409" s="743"/>
      <c r="E409" s="743"/>
      <c r="F409" s="743"/>
      <c r="G409" s="743"/>
      <c r="H409" s="743"/>
      <c r="I409" s="743"/>
      <c r="J409" s="744"/>
    </row>
    <row r="410" spans="1:10" ht="12.75" customHeight="1" x14ac:dyDescent="0.2">
      <c r="A410" s="742"/>
      <c r="B410" s="743"/>
      <c r="C410" s="743"/>
      <c r="D410" s="743"/>
      <c r="E410" s="743"/>
      <c r="F410" s="743"/>
      <c r="G410" s="743"/>
      <c r="H410" s="743"/>
      <c r="I410" s="743"/>
      <c r="J410" s="744"/>
    </row>
    <row r="411" spans="1:10" ht="12.75" customHeight="1" x14ac:dyDescent="0.2">
      <c r="A411" s="742"/>
      <c r="B411" s="743"/>
      <c r="C411" s="743"/>
      <c r="D411" s="743"/>
      <c r="E411" s="743"/>
      <c r="F411" s="743"/>
      <c r="G411" s="743"/>
      <c r="H411" s="743"/>
      <c r="I411" s="743"/>
      <c r="J411" s="744"/>
    </row>
    <row r="412" spans="1:10" ht="12.75" customHeight="1" x14ac:dyDescent="0.2">
      <c r="A412" s="742"/>
      <c r="B412" s="743"/>
      <c r="C412" s="743"/>
      <c r="D412" s="743"/>
      <c r="E412" s="743"/>
      <c r="F412" s="743"/>
      <c r="G412" s="743"/>
      <c r="H412" s="743"/>
      <c r="I412" s="743"/>
      <c r="J412" s="744"/>
    </row>
    <row r="413" spans="1:10" ht="12.75" customHeight="1" x14ac:dyDescent="0.2">
      <c r="A413" s="742"/>
      <c r="B413" s="743"/>
      <c r="C413" s="743"/>
      <c r="D413" s="743"/>
      <c r="E413" s="743"/>
      <c r="F413" s="743"/>
      <c r="G413" s="743"/>
      <c r="H413" s="743"/>
      <c r="I413" s="743"/>
      <c r="J413" s="744"/>
    </row>
    <row r="414" spans="1:10" ht="12.75" customHeight="1" x14ac:dyDescent="0.2">
      <c r="A414" s="742"/>
      <c r="B414" s="743"/>
      <c r="C414" s="743"/>
      <c r="D414" s="743"/>
      <c r="E414" s="743"/>
      <c r="F414" s="743"/>
      <c r="G414" s="743"/>
      <c r="H414" s="743"/>
      <c r="I414" s="743"/>
      <c r="J414" s="744"/>
    </row>
    <row r="415" spans="1:10" ht="12.75" customHeight="1" x14ac:dyDescent="0.2">
      <c r="A415" s="742"/>
      <c r="B415" s="743"/>
      <c r="C415" s="743"/>
      <c r="D415" s="743"/>
      <c r="E415" s="743"/>
      <c r="F415" s="743"/>
      <c r="G415" s="743"/>
      <c r="H415" s="743"/>
      <c r="I415" s="743"/>
      <c r="J415" s="744"/>
    </row>
    <row r="416" spans="1:10" ht="12.75" customHeight="1" x14ac:dyDescent="0.2">
      <c r="A416" s="742"/>
      <c r="B416" s="743"/>
      <c r="C416" s="743"/>
      <c r="D416" s="743"/>
      <c r="E416" s="743"/>
      <c r="F416" s="743"/>
      <c r="G416" s="743"/>
      <c r="H416" s="743"/>
      <c r="I416" s="743"/>
      <c r="J416" s="744"/>
    </row>
    <row r="417" spans="1:10" ht="12.75" customHeight="1" x14ac:dyDescent="0.2">
      <c r="A417" s="742"/>
      <c r="B417" s="743"/>
      <c r="C417" s="743"/>
      <c r="D417" s="743"/>
      <c r="E417" s="743"/>
      <c r="F417" s="743"/>
      <c r="G417" s="743"/>
      <c r="H417" s="743"/>
      <c r="I417" s="743"/>
      <c r="J417" s="744"/>
    </row>
    <row r="418" spans="1:10" ht="12.75" customHeight="1" x14ac:dyDescent="0.2">
      <c r="A418" s="742"/>
      <c r="B418" s="743"/>
      <c r="C418" s="743"/>
      <c r="D418" s="743"/>
      <c r="E418" s="743"/>
      <c r="F418" s="743"/>
      <c r="G418" s="743"/>
      <c r="H418" s="743"/>
      <c r="I418" s="743"/>
      <c r="J418" s="744"/>
    </row>
    <row r="419" spans="1:10" ht="12.75" customHeight="1" x14ac:dyDescent="0.2">
      <c r="A419" s="742"/>
      <c r="B419" s="743"/>
      <c r="C419" s="743"/>
      <c r="D419" s="743"/>
      <c r="E419" s="743"/>
      <c r="F419" s="743"/>
      <c r="G419" s="743"/>
      <c r="H419" s="743"/>
      <c r="I419" s="743"/>
      <c r="J419" s="744"/>
    </row>
  </sheetData>
  <sheetProtection formatRows="0"/>
  <mergeCells count="53">
    <mergeCell ref="A1:J2"/>
    <mergeCell ref="A3:J5"/>
    <mergeCell ref="A6:J10"/>
    <mergeCell ref="A12:J12"/>
    <mergeCell ref="A13:E13"/>
    <mergeCell ref="F13:J13"/>
    <mergeCell ref="A92:J126"/>
    <mergeCell ref="A14:J17"/>
    <mergeCell ref="A18:J42"/>
    <mergeCell ref="A44:J44"/>
    <mergeCell ref="A45:E45"/>
    <mergeCell ref="F45:J45"/>
    <mergeCell ref="A46:J49"/>
    <mergeCell ref="A50:J84"/>
    <mergeCell ref="A86:J86"/>
    <mergeCell ref="A87:E87"/>
    <mergeCell ref="F87:J87"/>
    <mergeCell ref="A88:J91"/>
    <mergeCell ref="A213:E213"/>
    <mergeCell ref="F213:J213"/>
    <mergeCell ref="A128:J128"/>
    <mergeCell ref="A129:E129"/>
    <mergeCell ref="F129:J129"/>
    <mergeCell ref="A130:J133"/>
    <mergeCell ref="A134:J168"/>
    <mergeCell ref="A170:J170"/>
    <mergeCell ref="A171:E171"/>
    <mergeCell ref="F171:J171"/>
    <mergeCell ref="A172:J175"/>
    <mergeCell ref="A176:J210"/>
    <mergeCell ref="A212:J212"/>
    <mergeCell ref="A302:J336"/>
    <mergeCell ref="A214:J217"/>
    <mergeCell ref="A218:J252"/>
    <mergeCell ref="A254:J254"/>
    <mergeCell ref="A255:E255"/>
    <mergeCell ref="F255:J255"/>
    <mergeCell ref="A256:J259"/>
    <mergeCell ref="A260:J294"/>
    <mergeCell ref="A296:J296"/>
    <mergeCell ref="A297:E297"/>
    <mergeCell ref="F297:J297"/>
    <mergeCell ref="A298:J301"/>
    <mergeCell ref="A381:E381"/>
    <mergeCell ref="F381:J381"/>
    <mergeCell ref="A382:J385"/>
    <mergeCell ref="A386:J419"/>
    <mergeCell ref="A338:J338"/>
    <mergeCell ref="A339:E339"/>
    <mergeCell ref="F339:J339"/>
    <mergeCell ref="A340:J343"/>
    <mergeCell ref="A344:J378"/>
    <mergeCell ref="A380:J380"/>
  </mergeCells>
  <dataValidations disablePrompts="1" count="3">
    <dataValidation type="textLength" operator="lessThan" allowBlank="1" showInputMessage="1" showErrorMessage="1" errorTitle="Too Much Text" error="Provide a brief description using no more than 100 characters here.  A more full description should be included within the narrative (tab 9)." sqref="G18:J42 G50:J84 G386:J419 G344:J378 G302:J336 G260:J294 G218:J252 G176:J210 G134:J168 G92:J126">
      <formula1>101</formula1>
    </dataValidation>
    <dataValidation allowBlank="1" showInputMessage="1" showErrorMessage="1" promptTitle="Total Amount" prompt="Input the total amount of these funds being used to fund this individual's salary and benefits." sqref="F18:F42 F50:F84 F386:F419 F344:F378 F302:F336 F260:F294 F218:F252 F176:F210 F134:F168 F92:F126"/>
    <dataValidation type="list" allowBlank="1" showInputMessage="1" showErrorMessage="1" sqref="E18:E42 E50:E84 E386:E419 E344:E378 E302:E336 E260:E294 E218:E252 E176:E210 E134:E168 E92:E126">
      <formula1>program</formula1>
    </dataValidation>
  </dataValidations>
  <pageMargins left="0.75" right="0.75" top="1" bottom="1" header="0.5" footer="0.5"/>
  <pageSetup scale="83" fitToWidth="0" fitToHeight="0" orientation="landscape" r:id="rId1"/>
  <headerFooter alignWithMargins="0">
    <oddHeader>&amp;LFFY 2012 Consolidated Application&amp;C&amp;A&amp;R&amp;P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P205"/>
  <sheetViews>
    <sheetView topLeftCell="A162" zoomScale="85" zoomScaleNormal="85" workbookViewId="0">
      <selection activeCell="G205" activeCellId="3" sqref="K38 G73:K73 G135:K135 G205:K205"/>
    </sheetView>
  </sheetViews>
  <sheetFormatPr defaultColWidth="9.140625" defaultRowHeight="12.75" x14ac:dyDescent="0.2"/>
  <cols>
    <col min="1" max="9" width="15.7109375" style="2" customWidth="1"/>
    <col min="10" max="10" width="16.28515625" style="2" customWidth="1"/>
    <col min="11" max="11" width="20.5703125" style="2" customWidth="1"/>
    <col min="12" max="14" width="9.140625" style="2" customWidth="1"/>
    <col min="15" max="15" width="9.140625" style="2"/>
    <col min="16" max="16" width="12.5703125" style="2" bestFit="1" customWidth="1"/>
    <col min="17" max="17" width="9.140625" style="2"/>
    <col min="18" max="18" width="12" style="2" bestFit="1" customWidth="1"/>
    <col min="19" max="16384" width="9.140625" style="2"/>
  </cols>
  <sheetData>
    <row r="1" spans="1:16" x14ac:dyDescent="0.2">
      <c r="A1" s="1048" t="s">
        <v>192</v>
      </c>
      <c r="B1" s="1049"/>
      <c r="C1" s="1049"/>
      <c r="D1" s="1049"/>
      <c r="E1" s="1049"/>
      <c r="F1" s="1049"/>
      <c r="G1" s="1049"/>
      <c r="H1" s="1049"/>
      <c r="I1" s="1049"/>
      <c r="J1" s="1049"/>
      <c r="K1" s="1050"/>
    </row>
    <row r="2" spans="1:16" x14ac:dyDescent="0.2">
      <c r="A2" s="1051"/>
      <c r="B2" s="1052"/>
      <c r="C2" s="1052"/>
      <c r="D2" s="1052"/>
      <c r="E2" s="1052"/>
      <c r="F2" s="1052"/>
      <c r="G2" s="1052"/>
      <c r="H2" s="1052"/>
      <c r="I2" s="1052"/>
      <c r="J2" s="1052"/>
      <c r="K2" s="1053"/>
    </row>
    <row r="3" spans="1:16" ht="12.75" customHeight="1" x14ac:dyDescent="0.2">
      <c r="A3" s="1054" t="s">
        <v>372</v>
      </c>
      <c r="B3" s="646"/>
      <c r="C3" s="646"/>
      <c r="D3" s="646"/>
      <c r="E3" s="646"/>
      <c r="F3" s="646"/>
      <c r="G3" s="646"/>
      <c r="H3" s="646"/>
      <c r="I3" s="646"/>
      <c r="J3" s="646"/>
      <c r="K3" s="1055"/>
    </row>
    <row r="4" spans="1:16" x14ac:dyDescent="0.2">
      <c r="A4" s="1056"/>
      <c r="B4" s="652"/>
      <c r="C4" s="652"/>
      <c r="D4" s="652"/>
      <c r="E4" s="652"/>
      <c r="F4" s="652"/>
      <c r="G4" s="652"/>
      <c r="H4" s="652"/>
      <c r="I4" s="652"/>
      <c r="J4" s="652"/>
      <c r="K4" s="1057"/>
    </row>
    <row r="5" spans="1:16" ht="18" customHeight="1" x14ac:dyDescent="0.2">
      <c r="A5" s="1058" t="s">
        <v>40</v>
      </c>
      <c r="B5" s="1058"/>
      <c r="C5" s="1058"/>
      <c r="D5" s="1058"/>
      <c r="E5" s="1058"/>
      <c r="F5" s="1058"/>
      <c r="G5" s="1058"/>
      <c r="H5" s="1058"/>
      <c r="I5" s="1058"/>
      <c r="J5" s="1058"/>
      <c r="K5" s="1058"/>
    </row>
    <row r="6" spans="1:16" ht="18" customHeight="1" x14ac:dyDescent="0.2">
      <c r="A6" s="1058"/>
      <c r="B6" s="1058"/>
      <c r="C6" s="1058"/>
      <c r="D6" s="1058"/>
      <c r="E6" s="1058"/>
      <c r="F6" s="1058"/>
      <c r="G6" s="1058"/>
      <c r="H6" s="1058"/>
      <c r="I6" s="1058"/>
      <c r="J6" s="1058"/>
      <c r="K6" s="1058"/>
    </row>
    <row r="7" spans="1:16" ht="15" customHeight="1" x14ac:dyDescent="0.2">
      <c r="A7" s="1000" t="s">
        <v>41</v>
      </c>
      <c r="B7" s="1002"/>
      <c r="C7" s="1009" t="s">
        <v>42</v>
      </c>
      <c r="D7" s="1009" t="s">
        <v>140</v>
      </c>
      <c r="E7" s="1009" t="s">
        <v>139</v>
      </c>
      <c r="F7" s="1059" t="s">
        <v>102</v>
      </c>
      <c r="G7" s="1012" t="s">
        <v>103</v>
      </c>
      <c r="H7" s="1000" t="s">
        <v>48</v>
      </c>
      <c r="I7" s="1001"/>
      <c r="J7" s="1001"/>
      <c r="K7" s="1002"/>
    </row>
    <row r="8" spans="1:16" ht="15" customHeight="1" x14ac:dyDescent="0.2">
      <c r="A8" s="1003"/>
      <c r="B8" s="1005"/>
      <c r="C8" s="1010"/>
      <c r="D8" s="1010"/>
      <c r="E8" s="1010"/>
      <c r="F8" s="1060"/>
      <c r="G8" s="1012"/>
      <c r="H8" s="1003"/>
      <c r="I8" s="1004"/>
      <c r="J8" s="1004"/>
      <c r="K8" s="1005"/>
    </row>
    <row r="9" spans="1:16" ht="15" customHeight="1" x14ac:dyDescent="0.2">
      <c r="A9" s="1003"/>
      <c r="B9" s="1005"/>
      <c r="C9" s="1010"/>
      <c r="D9" s="1010"/>
      <c r="E9" s="1010"/>
      <c r="F9" s="1060"/>
      <c r="G9" s="1012"/>
      <c r="H9" s="1003"/>
      <c r="I9" s="1004"/>
      <c r="J9" s="1004"/>
      <c r="K9" s="1005"/>
      <c r="P9" s="230"/>
    </row>
    <row r="10" spans="1:16" ht="15" customHeight="1" x14ac:dyDescent="0.2">
      <c r="A10" s="1003"/>
      <c r="B10" s="1005"/>
      <c r="C10" s="1010"/>
      <c r="D10" s="1010"/>
      <c r="E10" s="1010"/>
      <c r="F10" s="1060"/>
      <c r="G10" s="1012"/>
      <c r="H10" s="1003"/>
      <c r="I10" s="1004"/>
      <c r="J10" s="1004"/>
      <c r="K10" s="1005"/>
    </row>
    <row r="11" spans="1:16" ht="15" customHeight="1" x14ac:dyDescent="0.2">
      <c r="A11" s="1003"/>
      <c r="B11" s="1005"/>
      <c r="C11" s="1010"/>
      <c r="D11" s="1010"/>
      <c r="E11" s="1010"/>
      <c r="F11" s="1060"/>
      <c r="G11" s="1012"/>
      <c r="H11" s="1003"/>
      <c r="I11" s="1004"/>
      <c r="J11" s="1004"/>
      <c r="K11" s="1005"/>
    </row>
    <row r="12" spans="1:16" ht="15" customHeight="1" x14ac:dyDescent="0.2">
      <c r="A12" s="1003"/>
      <c r="B12" s="1005"/>
      <c r="C12" s="1010"/>
      <c r="D12" s="1010"/>
      <c r="E12" s="1010"/>
      <c r="F12" s="1060"/>
      <c r="G12" s="1012"/>
      <c r="H12" s="1003"/>
      <c r="I12" s="1004"/>
      <c r="J12" s="1004"/>
      <c r="K12" s="1005"/>
    </row>
    <row r="13" spans="1:16" ht="14.25" customHeight="1" x14ac:dyDescent="0.2">
      <c r="A13" s="1006"/>
      <c r="B13" s="1008"/>
      <c r="C13" s="1011"/>
      <c r="D13" s="1011"/>
      <c r="E13" s="1011"/>
      <c r="F13" s="1061"/>
      <c r="G13" s="1012"/>
      <c r="H13" s="1006"/>
      <c r="I13" s="1007"/>
      <c r="J13" s="1007"/>
      <c r="K13" s="1008"/>
    </row>
    <row r="14" spans="1:16" s="143" customFormat="1" ht="15" customHeight="1" x14ac:dyDescent="0.2">
      <c r="A14" s="1019" t="s">
        <v>1058</v>
      </c>
      <c r="B14" s="1021"/>
      <c r="C14" s="273" t="s">
        <v>715</v>
      </c>
      <c r="D14" s="273" t="s">
        <v>50</v>
      </c>
      <c r="E14" s="273" t="s">
        <v>127</v>
      </c>
      <c r="F14" s="287">
        <v>1</v>
      </c>
      <c r="G14" s="272">
        <v>100000</v>
      </c>
      <c r="H14" s="1019" t="s">
        <v>1054</v>
      </c>
      <c r="I14" s="1020"/>
      <c r="J14" s="1020"/>
      <c r="K14" s="1021"/>
      <c r="L14" s="143">
        <f>COUNTBLANK(C14:K14)</f>
        <v>3</v>
      </c>
      <c r="M14" s="143" t="str">
        <f t="shared" ref="M14:M37" si="0">IF(AND(A14&lt;&gt;"",L14&gt;3),"No","Yes")</f>
        <v>Yes</v>
      </c>
      <c r="N14" s="143" t="str">
        <f t="shared" ref="N14:N37" si="1">CONCATENATE(D14,E14)</f>
        <v>InstructionEng. Proficiency</v>
      </c>
    </row>
    <row r="15" spans="1:16" ht="15" customHeight="1" x14ac:dyDescent="0.2">
      <c r="A15" s="1043" t="s">
        <v>692</v>
      </c>
      <c r="B15" s="1044"/>
      <c r="C15" s="260" t="s">
        <v>902</v>
      </c>
      <c r="D15" s="260" t="s">
        <v>51</v>
      </c>
      <c r="E15" s="260" t="s">
        <v>127</v>
      </c>
      <c r="F15" s="286" t="s">
        <v>902</v>
      </c>
      <c r="G15" s="259">
        <v>3950</v>
      </c>
      <c r="H15" s="985" t="s">
        <v>1075</v>
      </c>
      <c r="I15" s="986"/>
      <c r="J15" s="986"/>
      <c r="K15" s="987"/>
      <c r="L15" s="2">
        <f>COUNTBLANK(E15:K15)</f>
        <v>3</v>
      </c>
      <c r="M15" s="2" t="str">
        <f t="shared" si="0"/>
        <v>Yes</v>
      </c>
      <c r="N15" s="2" t="str">
        <f t="shared" si="1"/>
        <v>Support ServicesEng. Proficiency</v>
      </c>
    </row>
    <row r="16" spans="1:16" ht="15" customHeight="1" x14ac:dyDescent="0.2">
      <c r="A16" s="1043" t="s">
        <v>692</v>
      </c>
      <c r="B16" s="1044"/>
      <c r="C16" s="260" t="s">
        <v>902</v>
      </c>
      <c r="D16" s="260" t="s">
        <v>51</v>
      </c>
      <c r="E16" s="260" t="s">
        <v>132</v>
      </c>
      <c r="F16" s="286" t="s">
        <v>902</v>
      </c>
      <c r="G16" s="259">
        <v>10000</v>
      </c>
      <c r="H16" s="985" t="s">
        <v>1106</v>
      </c>
      <c r="I16" s="986"/>
      <c r="J16" s="986"/>
      <c r="K16" s="987"/>
      <c r="L16" s="2">
        <f t="shared" ref="L16:L37" si="2">COUNTBLANK(C16:K16)</f>
        <v>3</v>
      </c>
      <c r="M16" s="2" t="str">
        <f t="shared" si="0"/>
        <v>Yes</v>
      </c>
      <c r="N16" s="2" t="str">
        <f t="shared" si="1"/>
        <v>Support ServicesCurricula/Materials</v>
      </c>
    </row>
    <row r="17" spans="1:16" ht="15" customHeight="1" x14ac:dyDescent="0.2">
      <c r="A17" s="1043" t="s">
        <v>692</v>
      </c>
      <c r="B17" s="1044"/>
      <c r="C17" s="260" t="s">
        <v>902</v>
      </c>
      <c r="D17" s="260" t="s">
        <v>51</v>
      </c>
      <c r="E17" s="260" t="s">
        <v>129</v>
      </c>
      <c r="F17" s="286" t="s">
        <v>902</v>
      </c>
      <c r="G17" s="259">
        <v>4000</v>
      </c>
      <c r="H17" s="985" t="s">
        <v>1107</v>
      </c>
      <c r="I17" s="986"/>
      <c r="J17" s="986"/>
      <c r="K17" s="987"/>
      <c r="L17" s="2">
        <f t="shared" si="2"/>
        <v>3</v>
      </c>
      <c r="M17" s="2" t="str">
        <f t="shared" si="0"/>
        <v>Yes</v>
      </c>
      <c r="N17" s="2" t="str">
        <f t="shared" si="1"/>
        <v>Support ServicesTutorials</v>
      </c>
    </row>
    <row r="18" spans="1:16" ht="15" customHeight="1" x14ac:dyDescent="0.2">
      <c r="A18" s="1043" t="s">
        <v>692</v>
      </c>
      <c r="B18" s="1044"/>
      <c r="C18" s="260" t="s">
        <v>902</v>
      </c>
      <c r="D18" s="260" t="s">
        <v>51</v>
      </c>
      <c r="E18" s="260" t="s">
        <v>130</v>
      </c>
      <c r="F18" s="286" t="s">
        <v>902</v>
      </c>
      <c r="G18" s="259">
        <v>8000</v>
      </c>
      <c r="H18" s="985" t="s">
        <v>1109</v>
      </c>
      <c r="I18" s="986"/>
      <c r="J18" s="986"/>
      <c r="K18" s="987"/>
      <c r="L18" s="2">
        <f t="shared" si="2"/>
        <v>3</v>
      </c>
      <c r="M18" s="2" t="str">
        <f t="shared" si="0"/>
        <v>Yes</v>
      </c>
      <c r="N18" s="2" t="str">
        <f t="shared" si="1"/>
        <v>Support ServicesLang. Instruction Prog.</v>
      </c>
    </row>
    <row r="19" spans="1:16" ht="15" customHeight="1" x14ac:dyDescent="0.2">
      <c r="A19" s="985"/>
      <c r="B19" s="987"/>
      <c r="C19" s="260"/>
      <c r="D19" s="260"/>
      <c r="E19" s="260"/>
      <c r="F19" s="286"/>
      <c r="G19" s="259"/>
      <c r="H19" s="985"/>
      <c r="I19" s="986"/>
      <c r="J19" s="986"/>
      <c r="K19" s="987"/>
      <c r="L19" s="2">
        <f t="shared" si="2"/>
        <v>9</v>
      </c>
      <c r="M19" s="2" t="str">
        <f t="shared" si="0"/>
        <v>Yes</v>
      </c>
      <c r="N19" s="2" t="str">
        <f t="shared" si="1"/>
        <v/>
      </c>
    </row>
    <row r="20" spans="1:16" ht="15" customHeight="1" x14ac:dyDescent="0.2">
      <c r="A20" s="985"/>
      <c r="B20" s="987"/>
      <c r="C20" s="260"/>
      <c r="D20" s="260"/>
      <c r="E20" s="260"/>
      <c r="F20" s="286"/>
      <c r="G20" s="259"/>
      <c r="H20" s="985"/>
      <c r="I20" s="986"/>
      <c r="J20" s="986"/>
      <c r="K20" s="987"/>
      <c r="L20" s="2">
        <f t="shared" si="2"/>
        <v>9</v>
      </c>
      <c r="M20" s="2" t="str">
        <f t="shared" si="0"/>
        <v>Yes</v>
      </c>
      <c r="N20" s="2" t="str">
        <f t="shared" si="1"/>
        <v/>
      </c>
    </row>
    <row r="21" spans="1:16" ht="15" customHeight="1" x14ac:dyDescent="0.2">
      <c r="A21" s="985"/>
      <c r="B21" s="987"/>
      <c r="C21" s="260"/>
      <c r="D21" s="260"/>
      <c r="E21" s="260"/>
      <c r="F21" s="286"/>
      <c r="G21" s="259"/>
      <c r="H21" s="985"/>
      <c r="I21" s="986"/>
      <c r="J21" s="986"/>
      <c r="K21" s="987"/>
      <c r="L21" s="2">
        <f t="shared" si="2"/>
        <v>9</v>
      </c>
      <c r="M21" s="2" t="str">
        <f t="shared" si="0"/>
        <v>Yes</v>
      </c>
      <c r="N21" s="2" t="str">
        <f t="shared" si="1"/>
        <v/>
      </c>
    </row>
    <row r="22" spans="1:16" ht="15" customHeight="1" x14ac:dyDescent="0.2">
      <c r="A22" s="985"/>
      <c r="B22" s="987"/>
      <c r="C22" s="260"/>
      <c r="D22" s="260"/>
      <c r="E22" s="260"/>
      <c r="F22" s="286"/>
      <c r="G22" s="259"/>
      <c r="H22" s="985"/>
      <c r="I22" s="986"/>
      <c r="J22" s="986"/>
      <c r="K22" s="987"/>
      <c r="L22" s="2">
        <f t="shared" si="2"/>
        <v>9</v>
      </c>
      <c r="M22" s="2" t="str">
        <f t="shared" si="0"/>
        <v>Yes</v>
      </c>
      <c r="N22" s="2" t="str">
        <f t="shared" si="1"/>
        <v/>
      </c>
    </row>
    <row r="23" spans="1:16" ht="15" customHeight="1" x14ac:dyDescent="0.2">
      <c r="A23" s="985"/>
      <c r="B23" s="987"/>
      <c r="C23" s="260"/>
      <c r="D23" s="260"/>
      <c r="E23" s="260"/>
      <c r="F23" s="286"/>
      <c r="G23" s="259"/>
      <c r="H23" s="985"/>
      <c r="I23" s="986"/>
      <c r="J23" s="986"/>
      <c r="K23" s="987"/>
      <c r="L23" s="2">
        <f t="shared" si="2"/>
        <v>9</v>
      </c>
      <c r="M23" s="2" t="str">
        <f t="shared" si="0"/>
        <v>Yes</v>
      </c>
      <c r="N23" s="2" t="str">
        <f t="shared" si="1"/>
        <v/>
      </c>
    </row>
    <row r="24" spans="1:16" ht="15" customHeight="1" x14ac:dyDescent="0.2">
      <c r="A24" s="985"/>
      <c r="B24" s="987"/>
      <c r="C24" s="260"/>
      <c r="D24" s="260"/>
      <c r="E24" s="260"/>
      <c r="F24" s="286"/>
      <c r="G24" s="259"/>
      <c r="H24" s="985"/>
      <c r="I24" s="986"/>
      <c r="J24" s="986"/>
      <c r="K24" s="987"/>
      <c r="L24" s="2">
        <f t="shared" si="2"/>
        <v>9</v>
      </c>
      <c r="M24" s="2" t="str">
        <f t="shared" si="0"/>
        <v>Yes</v>
      </c>
      <c r="N24" s="2" t="str">
        <f t="shared" si="1"/>
        <v/>
      </c>
    </row>
    <row r="25" spans="1:16" ht="15" customHeight="1" x14ac:dyDescent="0.2">
      <c r="A25" s="985"/>
      <c r="B25" s="987"/>
      <c r="C25" s="260"/>
      <c r="D25" s="260"/>
      <c r="E25" s="260"/>
      <c r="F25" s="286"/>
      <c r="G25" s="259"/>
      <c r="H25" s="985"/>
      <c r="I25" s="986"/>
      <c r="J25" s="986"/>
      <c r="K25" s="987"/>
      <c r="L25" s="2">
        <f t="shared" si="2"/>
        <v>9</v>
      </c>
      <c r="M25" s="2" t="str">
        <f t="shared" si="0"/>
        <v>Yes</v>
      </c>
      <c r="N25" s="2" t="str">
        <f t="shared" si="1"/>
        <v/>
      </c>
    </row>
    <row r="26" spans="1:16" ht="15" customHeight="1" x14ac:dyDescent="0.2">
      <c r="A26" s="985"/>
      <c r="B26" s="987"/>
      <c r="C26" s="260"/>
      <c r="D26" s="260"/>
      <c r="E26" s="260"/>
      <c r="F26" s="286"/>
      <c r="G26" s="259"/>
      <c r="H26" s="985"/>
      <c r="I26" s="986"/>
      <c r="J26" s="986"/>
      <c r="K26" s="987"/>
      <c r="L26" s="2">
        <f t="shared" si="2"/>
        <v>9</v>
      </c>
      <c r="M26" s="2" t="str">
        <f t="shared" si="0"/>
        <v>Yes</v>
      </c>
      <c r="N26" s="2" t="str">
        <f t="shared" si="1"/>
        <v/>
      </c>
    </row>
    <row r="27" spans="1:16" ht="15" customHeight="1" x14ac:dyDescent="0.2">
      <c r="A27" s="985"/>
      <c r="B27" s="987"/>
      <c r="C27" s="260"/>
      <c r="D27" s="260"/>
      <c r="E27" s="260"/>
      <c r="F27" s="286"/>
      <c r="G27" s="259"/>
      <c r="H27" s="985"/>
      <c r="I27" s="986"/>
      <c r="J27" s="986"/>
      <c r="K27" s="987"/>
      <c r="L27" s="2">
        <f t="shared" si="2"/>
        <v>9</v>
      </c>
      <c r="M27" s="2" t="str">
        <f t="shared" si="0"/>
        <v>Yes</v>
      </c>
      <c r="N27" s="2" t="str">
        <f t="shared" si="1"/>
        <v/>
      </c>
    </row>
    <row r="28" spans="1:16" ht="15" customHeight="1" x14ac:dyDescent="0.2">
      <c r="A28" s="985"/>
      <c r="B28" s="987"/>
      <c r="C28" s="260"/>
      <c r="D28" s="260"/>
      <c r="E28" s="260"/>
      <c r="F28" s="286"/>
      <c r="G28" s="259"/>
      <c r="H28" s="985"/>
      <c r="I28" s="986"/>
      <c r="J28" s="986"/>
      <c r="K28" s="987"/>
      <c r="L28" s="2">
        <f t="shared" si="2"/>
        <v>9</v>
      </c>
      <c r="M28" s="2" t="str">
        <f t="shared" si="0"/>
        <v>Yes</v>
      </c>
      <c r="N28" s="2" t="str">
        <f t="shared" si="1"/>
        <v/>
      </c>
    </row>
    <row r="29" spans="1:16" ht="15" customHeight="1" x14ac:dyDescent="0.2">
      <c r="A29" s="985"/>
      <c r="B29" s="987"/>
      <c r="C29" s="260"/>
      <c r="D29" s="260"/>
      <c r="E29" s="260"/>
      <c r="F29" s="286"/>
      <c r="G29" s="259"/>
      <c r="H29" s="985"/>
      <c r="I29" s="986"/>
      <c r="J29" s="986"/>
      <c r="K29" s="987"/>
      <c r="L29" s="2">
        <f t="shared" si="2"/>
        <v>9</v>
      </c>
      <c r="M29" s="2" t="str">
        <f t="shared" si="0"/>
        <v>Yes</v>
      </c>
      <c r="N29" s="2" t="str">
        <f t="shared" si="1"/>
        <v/>
      </c>
    </row>
    <row r="30" spans="1:16" ht="15" customHeight="1" x14ac:dyDescent="0.2">
      <c r="A30" s="985"/>
      <c r="B30" s="987"/>
      <c r="C30" s="260"/>
      <c r="D30" s="260"/>
      <c r="E30" s="260"/>
      <c r="F30" s="286"/>
      <c r="G30" s="259"/>
      <c r="H30" s="985"/>
      <c r="I30" s="986"/>
      <c r="J30" s="986"/>
      <c r="K30" s="987"/>
      <c r="L30" s="2">
        <f t="shared" si="2"/>
        <v>9</v>
      </c>
      <c r="M30" s="2" t="str">
        <f t="shared" si="0"/>
        <v>Yes</v>
      </c>
      <c r="N30" s="2" t="str">
        <f t="shared" si="1"/>
        <v/>
      </c>
    </row>
    <row r="31" spans="1:16" ht="15" customHeight="1" x14ac:dyDescent="0.2">
      <c r="A31" s="985"/>
      <c r="B31" s="987"/>
      <c r="C31" s="260"/>
      <c r="D31" s="260"/>
      <c r="E31" s="260"/>
      <c r="F31" s="286"/>
      <c r="G31" s="259"/>
      <c r="H31" s="985"/>
      <c r="I31" s="986"/>
      <c r="J31" s="986"/>
      <c r="K31" s="987"/>
      <c r="L31" s="2">
        <f t="shared" si="2"/>
        <v>9</v>
      </c>
      <c r="M31" s="2" t="str">
        <f t="shared" si="0"/>
        <v>Yes</v>
      </c>
      <c r="N31" s="2" t="str">
        <f t="shared" si="1"/>
        <v/>
      </c>
      <c r="P31" s="230">
        <v>364095.52</v>
      </c>
    </row>
    <row r="32" spans="1:16" ht="15" customHeight="1" x14ac:dyDescent="0.2">
      <c r="A32" s="985"/>
      <c r="B32" s="987"/>
      <c r="C32" s="260"/>
      <c r="D32" s="260"/>
      <c r="E32" s="260"/>
      <c r="F32" s="286"/>
      <c r="G32" s="259"/>
      <c r="H32" s="985"/>
      <c r="I32" s="986"/>
      <c r="J32" s="986"/>
      <c r="K32" s="987"/>
      <c r="L32" s="2">
        <f t="shared" si="2"/>
        <v>9</v>
      </c>
      <c r="M32" s="2" t="str">
        <f t="shared" si="0"/>
        <v>Yes</v>
      </c>
      <c r="N32" s="2" t="str">
        <f t="shared" si="1"/>
        <v/>
      </c>
      <c r="P32" s="230">
        <f>K38+G73+G108+G135+G170+G205</f>
        <v>364095.52</v>
      </c>
    </row>
    <row r="33" spans="1:16" ht="15" customHeight="1" x14ac:dyDescent="0.2">
      <c r="A33" s="985"/>
      <c r="B33" s="987"/>
      <c r="C33" s="260"/>
      <c r="D33" s="260"/>
      <c r="E33" s="260"/>
      <c r="F33" s="286"/>
      <c r="G33" s="259"/>
      <c r="H33" s="985"/>
      <c r="I33" s="986"/>
      <c r="J33" s="986"/>
      <c r="K33" s="987"/>
      <c r="L33" s="2">
        <f t="shared" si="2"/>
        <v>9</v>
      </c>
      <c r="M33" s="2" t="str">
        <f t="shared" si="0"/>
        <v>Yes</v>
      </c>
      <c r="N33" s="2" t="str">
        <f t="shared" si="1"/>
        <v/>
      </c>
      <c r="P33" s="269">
        <f>P31-P32</f>
        <v>0</v>
      </c>
    </row>
    <row r="34" spans="1:16" ht="15" customHeight="1" x14ac:dyDescent="0.2">
      <c r="A34" s="985"/>
      <c r="B34" s="987"/>
      <c r="C34" s="260"/>
      <c r="D34" s="260"/>
      <c r="E34" s="260"/>
      <c r="F34" s="286"/>
      <c r="G34" s="259"/>
      <c r="H34" s="985"/>
      <c r="I34" s="986"/>
      <c r="J34" s="986"/>
      <c r="K34" s="987"/>
      <c r="L34" s="2">
        <f t="shared" si="2"/>
        <v>9</v>
      </c>
      <c r="M34" s="2" t="str">
        <f t="shared" si="0"/>
        <v>Yes</v>
      </c>
      <c r="N34" s="2" t="str">
        <f t="shared" si="1"/>
        <v/>
      </c>
    </row>
    <row r="35" spans="1:16" ht="15" customHeight="1" x14ac:dyDescent="0.2">
      <c r="A35" s="985"/>
      <c r="B35" s="987"/>
      <c r="C35" s="260"/>
      <c r="D35" s="260"/>
      <c r="E35" s="260"/>
      <c r="F35" s="286"/>
      <c r="G35" s="259"/>
      <c r="H35" s="985"/>
      <c r="I35" s="986"/>
      <c r="J35" s="986"/>
      <c r="K35" s="987"/>
      <c r="L35" s="2">
        <f t="shared" si="2"/>
        <v>9</v>
      </c>
      <c r="M35" s="2" t="str">
        <f t="shared" si="0"/>
        <v>Yes</v>
      </c>
      <c r="N35" s="2" t="str">
        <f t="shared" si="1"/>
        <v/>
      </c>
    </row>
    <row r="36" spans="1:16" ht="15" customHeight="1" x14ac:dyDescent="0.2">
      <c r="A36" s="985"/>
      <c r="B36" s="987"/>
      <c r="C36" s="260"/>
      <c r="D36" s="260"/>
      <c r="E36" s="260"/>
      <c r="F36" s="286"/>
      <c r="G36" s="259"/>
      <c r="H36" s="985"/>
      <c r="I36" s="986"/>
      <c r="J36" s="986"/>
      <c r="K36" s="987"/>
      <c r="L36" s="2">
        <f t="shared" si="2"/>
        <v>9</v>
      </c>
      <c r="M36" s="2" t="str">
        <f t="shared" si="0"/>
        <v>Yes</v>
      </c>
      <c r="N36" s="2" t="str">
        <f t="shared" si="1"/>
        <v/>
      </c>
    </row>
    <row r="37" spans="1:16" ht="15" customHeight="1" x14ac:dyDescent="0.2">
      <c r="A37" s="985"/>
      <c r="B37" s="987"/>
      <c r="C37" s="260"/>
      <c r="D37" s="260"/>
      <c r="E37" s="260"/>
      <c r="F37" s="286"/>
      <c r="G37" s="259"/>
      <c r="H37" s="985"/>
      <c r="I37" s="986"/>
      <c r="J37" s="986"/>
      <c r="K37" s="987"/>
      <c r="L37" s="2">
        <f t="shared" si="2"/>
        <v>9</v>
      </c>
      <c r="M37" s="2" t="str">
        <f t="shared" si="0"/>
        <v>Yes</v>
      </c>
      <c r="N37" s="2" t="str">
        <f t="shared" si="1"/>
        <v/>
      </c>
    </row>
    <row r="38" spans="1:16" ht="15" customHeight="1" x14ac:dyDescent="0.2">
      <c r="A38" s="1041" t="s">
        <v>92</v>
      </c>
      <c r="B38" s="1041"/>
      <c r="C38" s="1041"/>
      <c r="D38" s="1041"/>
      <c r="E38" s="285"/>
      <c r="F38" s="284">
        <f>SUM(F14:F37)</f>
        <v>1</v>
      </c>
      <c r="G38" s="1042" t="s">
        <v>93</v>
      </c>
      <c r="H38" s="1042"/>
      <c r="I38" s="1042"/>
      <c r="J38" s="1042"/>
      <c r="K38" s="283">
        <f>SUM(G14:G37)</f>
        <v>125950</v>
      </c>
      <c r="M38" s="2">
        <f>COUNTIF(M14:M37,"Yes")</f>
        <v>24</v>
      </c>
    </row>
    <row r="39" spans="1:16" ht="15" customHeight="1" x14ac:dyDescent="0.2">
      <c r="A39" s="1013"/>
      <c r="B39" s="1014"/>
      <c r="C39" s="1014"/>
      <c r="D39" s="1014"/>
      <c r="E39" s="1014"/>
      <c r="F39" s="1014"/>
      <c r="G39" s="1014"/>
      <c r="H39" s="1014"/>
      <c r="I39" s="1014"/>
      <c r="J39" s="1014"/>
      <c r="K39" s="1015"/>
    </row>
    <row r="40" spans="1:16" ht="18" customHeight="1" x14ac:dyDescent="0.2">
      <c r="A40" s="997" t="s">
        <v>137</v>
      </c>
      <c r="B40" s="998"/>
      <c r="C40" s="998"/>
      <c r="D40" s="998"/>
      <c r="E40" s="998"/>
      <c r="F40" s="998"/>
      <c r="G40" s="998"/>
      <c r="H40" s="998"/>
      <c r="I40" s="998"/>
      <c r="J40" s="998"/>
      <c r="K40" s="999"/>
    </row>
    <row r="41" spans="1:16" ht="18" customHeight="1" x14ac:dyDescent="0.2">
      <c r="A41" s="997" t="s">
        <v>480</v>
      </c>
      <c r="B41" s="998"/>
      <c r="C41" s="998"/>
      <c r="D41" s="998"/>
      <c r="E41" s="998"/>
      <c r="F41" s="998"/>
      <c r="G41" s="998"/>
      <c r="H41" s="998"/>
      <c r="I41" s="998"/>
      <c r="J41" s="998"/>
      <c r="K41" s="999"/>
    </row>
    <row r="42" spans="1:16" ht="15" customHeight="1" x14ac:dyDescent="0.2">
      <c r="A42" s="1000" t="s">
        <v>49</v>
      </c>
      <c r="B42" s="1001"/>
      <c r="C42" s="1001"/>
      <c r="D42" s="1002"/>
      <c r="E42" s="1009" t="s">
        <v>140</v>
      </c>
      <c r="F42" s="1009" t="s">
        <v>139</v>
      </c>
      <c r="G42" s="1012" t="s">
        <v>104</v>
      </c>
      <c r="H42" s="1000" t="s">
        <v>53</v>
      </c>
      <c r="I42" s="1001"/>
      <c r="J42" s="1001"/>
      <c r="K42" s="1002"/>
    </row>
    <row r="43" spans="1:16" ht="15" customHeight="1" x14ac:dyDescent="0.2">
      <c r="A43" s="1003"/>
      <c r="B43" s="1004"/>
      <c r="C43" s="1004"/>
      <c r="D43" s="1005"/>
      <c r="E43" s="1010"/>
      <c r="F43" s="1010"/>
      <c r="G43" s="1010"/>
      <c r="H43" s="1003"/>
      <c r="I43" s="1004"/>
      <c r="J43" s="1004"/>
      <c r="K43" s="1005"/>
    </row>
    <row r="44" spans="1:16" ht="15" customHeight="1" x14ac:dyDescent="0.2">
      <c r="A44" s="1003"/>
      <c r="B44" s="1004"/>
      <c r="C44" s="1004"/>
      <c r="D44" s="1005"/>
      <c r="E44" s="1010"/>
      <c r="F44" s="1010"/>
      <c r="G44" s="1010"/>
      <c r="H44" s="1003"/>
      <c r="I44" s="1004"/>
      <c r="J44" s="1004"/>
      <c r="K44" s="1005"/>
    </row>
    <row r="45" spans="1:16" ht="15" customHeight="1" x14ac:dyDescent="0.2">
      <c r="A45" s="1003"/>
      <c r="B45" s="1004"/>
      <c r="C45" s="1004"/>
      <c r="D45" s="1005"/>
      <c r="E45" s="1010"/>
      <c r="F45" s="1010"/>
      <c r="G45" s="1010"/>
      <c r="H45" s="1003"/>
      <c r="I45" s="1004"/>
      <c r="J45" s="1004"/>
      <c r="K45" s="1005"/>
    </row>
    <row r="46" spans="1:16" ht="15" customHeight="1" x14ac:dyDescent="0.2">
      <c r="A46" s="1003"/>
      <c r="B46" s="1004"/>
      <c r="C46" s="1004"/>
      <c r="D46" s="1005"/>
      <c r="E46" s="1010"/>
      <c r="F46" s="1010"/>
      <c r="G46" s="1010"/>
      <c r="H46" s="1003"/>
      <c r="I46" s="1004"/>
      <c r="J46" s="1004"/>
      <c r="K46" s="1005"/>
    </row>
    <row r="47" spans="1:16" ht="14.25" customHeight="1" x14ac:dyDescent="0.2">
      <c r="A47" s="1006"/>
      <c r="B47" s="1007"/>
      <c r="C47" s="1007"/>
      <c r="D47" s="1008"/>
      <c r="E47" s="1011"/>
      <c r="F47" s="1011"/>
      <c r="G47" s="1011"/>
      <c r="H47" s="1006"/>
      <c r="I47" s="1007"/>
      <c r="J47" s="1007"/>
      <c r="K47" s="1008"/>
    </row>
    <row r="48" spans="1:16" ht="15" customHeight="1" x14ac:dyDescent="0.2">
      <c r="A48" s="985" t="s">
        <v>1060</v>
      </c>
      <c r="B48" s="986"/>
      <c r="C48" s="986"/>
      <c r="D48" s="987"/>
      <c r="E48" s="260" t="s">
        <v>51</v>
      </c>
      <c r="F48" s="260" t="s">
        <v>132</v>
      </c>
      <c r="G48" s="259">
        <v>16000</v>
      </c>
      <c r="H48" s="985" t="s">
        <v>1061</v>
      </c>
      <c r="I48" s="986"/>
      <c r="J48" s="986"/>
      <c r="K48" s="987"/>
      <c r="L48" s="2">
        <f>COUNTBLANK(E48:K48)</f>
        <v>3</v>
      </c>
      <c r="M48" s="2" t="str">
        <f>IF(AND(A48&lt;&gt;"",L48&gt;3),"No","Yes")</f>
        <v>Yes</v>
      </c>
      <c r="N48" s="2" t="str">
        <f>CONCATENATE(E48,F48)</f>
        <v>Support ServicesCurricula/Materials</v>
      </c>
    </row>
    <row r="49" spans="1:15" s="262" customFormat="1" ht="15" customHeight="1" x14ac:dyDescent="0.25">
      <c r="A49" s="282" t="s">
        <v>1131</v>
      </c>
      <c r="B49" s="281"/>
      <c r="C49" s="281"/>
      <c r="D49" s="280"/>
      <c r="E49" s="264" t="s">
        <v>51</v>
      </c>
      <c r="F49" s="264" t="s">
        <v>132</v>
      </c>
      <c r="G49" s="263">
        <v>17817.349999999999</v>
      </c>
      <c r="H49" s="1045" t="s">
        <v>1132</v>
      </c>
      <c r="I49" s="1046"/>
      <c r="J49" s="1046"/>
      <c r="K49" s="1047"/>
      <c r="L49" s="2">
        <f>COUNTBLANK(E49:K49)</f>
        <v>3</v>
      </c>
      <c r="M49" s="2" t="str">
        <f>IF(AND(A49&lt;&gt;"",L49&gt;3),"No","Yes")</f>
        <v>Yes</v>
      </c>
      <c r="N49" s="2" t="str">
        <f>CONCATENATE(E49,F49)</f>
        <v>Support ServicesCurricula/Materials</v>
      </c>
      <c r="O49" s="2"/>
    </row>
    <row r="50" spans="1:15" ht="15" customHeight="1" x14ac:dyDescent="0.2">
      <c r="A50" s="985" t="s">
        <v>1062</v>
      </c>
      <c r="B50" s="986"/>
      <c r="C50" s="986"/>
      <c r="D50" s="987"/>
      <c r="E50" s="260" t="s">
        <v>51</v>
      </c>
      <c r="F50" s="260" t="s">
        <v>130</v>
      </c>
      <c r="G50" s="259">
        <v>21000.52</v>
      </c>
      <c r="H50" s="985" t="s">
        <v>1063</v>
      </c>
      <c r="I50" s="986"/>
      <c r="J50" s="986"/>
      <c r="K50" s="987"/>
      <c r="L50" s="2">
        <f>COUNTBLANK(E50:K50)</f>
        <v>3</v>
      </c>
      <c r="M50" s="2" t="str">
        <f>IF(AND(A50&lt;&gt;"",L50&gt;3),"No","Yes")</f>
        <v>Yes</v>
      </c>
      <c r="N50" s="2" t="str">
        <f>CONCATENATE(E50,F50)</f>
        <v>Support ServicesLang. Instruction Prog.</v>
      </c>
    </row>
    <row r="51" spans="1:15" s="277" customFormat="1" ht="15" customHeight="1" x14ac:dyDescent="0.2">
      <c r="A51" s="1035" t="s">
        <v>1102</v>
      </c>
      <c r="B51" s="1036"/>
      <c r="C51" s="1036"/>
      <c r="D51" s="1037"/>
      <c r="E51" s="279" t="s">
        <v>51</v>
      </c>
      <c r="F51" s="279" t="s">
        <v>131</v>
      </c>
      <c r="G51" s="278">
        <v>8000</v>
      </c>
      <c r="H51" s="1035" t="s">
        <v>1076</v>
      </c>
      <c r="I51" s="1036"/>
      <c r="J51" s="1036"/>
      <c r="K51" s="1037"/>
      <c r="L51" s="277">
        <f>COUNTBLANK(E51:K51)</f>
        <v>3</v>
      </c>
      <c r="M51" s="277" t="str">
        <f>IF(AND(A51&lt;&gt;"",L51&gt;3),"No","Yes")</f>
        <v>Yes</v>
      </c>
      <c r="N51" s="277" t="str">
        <f>CONCATENATE(E51,F51)</f>
        <v>Support ServicesParent/Community</v>
      </c>
    </row>
    <row r="52" spans="1:15" s="274" customFormat="1" ht="15" customHeight="1" x14ac:dyDescent="0.2">
      <c r="A52" s="1038" t="s">
        <v>1077</v>
      </c>
      <c r="B52" s="1039"/>
      <c r="C52" s="1039"/>
      <c r="D52" s="1040"/>
      <c r="E52" s="276" t="s">
        <v>51</v>
      </c>
      <c r="F52" s="276" t="s">
        <v>108</v>
      </c>
      <c r="G52" s="275">
        <v>10000</v>
      </c>
      <c r="H52" s="1038" t="s">
        <v>1078</v>
      </c>
      <c r="I52" s="1039"/>
      <c r="J52" s="1039"/>
      <c r="K52" s="1040"/>
      <c r="L52" s="274">
        <f>COUNTBLANK(E52:K52)</f>
        <v>3</v>
      </c>
      <c r="M52" s="274" t="str">
        <f>IF(AND(A52&lt;&gt;"",L52&gt;3),"No","Yes")</f>
        <v>Yes</v>
      </c>
      <c r="N52" s="274" t="str">
        <f>CONCATENATE(E52,F52)</f>
        <v>Support ServicesEquitable Services</v>
      </c>
    </row>
    <row r="53" spans="1:15" s="143" customFormat="1" ht="15" customHeight="1" x14ac:dyDescent="0.2">
      <c r="A53" s="1019"/>
      <c r="B53" s="1020"/>
      <c r="C53" s="1020"/>
      <c r="D53" s="1021"/>
      <c r="E53" s="273"/>
      <c r="F53" s="273"/>
      <c r="G53" s="272"/>
      <c r="H53" s="1019"/>
      <c r="I53" s="1020"/>
      <c r="J53" s="1020"/>
      <c r="K53" s="1021"/>
      <c r="M53" s="274" t="str">
        <f t="shared" ref="M53:M57" si="3">IF(AND(A53&lt;&gt;"",L53&gt;3),"No","Yes")</f>
        <v>Yes</v>
      </c>
    </row>
    <row r="54" spans="1:15" ht="15" customHeight="1" x14ac:dyDescent="0.2">
      <c r="A54" s="985"/>
      <c r="B54" s="986"/>
      <c r="C54" s="986"/>
      <c r="D54" s="987"/>
      <c r="E54" s="260"/>
      <c r="F54" s="260"/>
      <c r="G54" s="259"/>
      <c r="H54" s="985"/>
      <c r="I54" s="986"/>
      <c r="J54" s="986"/>
      <c r="K54" s="987"/>
      <c r="M54" s="274" t="str">
        <f t="shared" si="3"/>
        <v>Yes</v>
      </c>
    </row>
    <row r="55" spans="1:15" ht="15" customHeight="1" x14ac:dyDescent="0.2">
      <c r="A55" s="985"/>
      <c r="B55" s="986"/>
      <c r="C55" s="986"/>
      <c r="D55" s="987"/>
      <c r="E55" s="260"/>
      <c r="F55" s="260"/>
      <c r="G55" s="259"/>
      <c r="H55" s="985"/>
      <c r="I55" s="986"/>
      <c r="J55" s="986"/>
      <c r="K55" s="987"/>
      <c r="M55" s="274" t="str">
        <f t="shared" si="3"/>
        <v>Yes</v>
      </c>
    </row>
    <row r="56" spans="1:15" ht="15" customHeight="1" x14ac:dyDescent="0.2">
      <c r="A56" s="985"/>
      <c r="B56" s="986"/>
      <c r="C56" s="986"/>
      <c r="D56" s="987"/>
      <c r="E56" s="260"/>
      <c r="F56" s="260"/>
      <c r="G56" s="259"/>
      <c r="H56" s="985"/>
      <c r="I56" s="986"/>
      <c r="J56" s="986"/>
      <c r="K56" s="987"/>
      <c r="M56" s="274" t="str">
        <f t="shared" si="3"/>
        <v>Yes</v>
      </c>
    </row>
    <row r="57" spans="1:15" ht="15" customHeight="1" x14ac:dyDescent="0.2">
      <c r="A57" s="985"/>
      <c r="B57" s="986"/>
      <c r="C57" s="986"/>
      <c r="D57" s="987"/>
      <c r="E57" s="260"/>
      <c r="F57" s="260"/>
      <c r="G57" s="259"/>
      <c r="H57" s="985"/>
      <c r="I57" s="986"/>
      <c r="J57" s="986"/>
      <c r="K57" s="987"/>
      <c r="L57" s="2">
        <f t="shared" ref="L57:L72" si="4">COUNTBLANK(E57:K57)</f>
        <v>7</v>
      </c>
      <c r="M57" s="274" t="str">
        <f t="shared" si="3"/>
        <v>Yes</v>
      </c>
      <c r="N57" s="2" t="str">
        <f t="shared" ref="N57:N72" si="5">CONCATENATE(E57,F57)</f>
        <v/>
      </c>
    </row>
    <row r="58" spans="1:15" ht="15" customHeight="1" x14ac:dyDescent="0.2">
      <c r="A58" s="985"/>
      <c r="B58" s="986"/>
      <c r="C58" s="986"/>
      <c r="D58" s="987"/>
      <c r="E58" s="260"/>
      <c r="F58" s="260"/>
      <c r="G58" s="259"/>
      <c r="H58" s="985"/>
      <c r="I58" s="986"/>
      <c r="J58" s="986"/>
      <c r="K58" s="987"/>
      <c r="L58" s="2">
        <f t="shared" si="4"/>
        <v>7</v>
      </c>
      <c r="M58" s="2" t="str">
        <f t="shared" ref="M58:M72" si="6">IF(AND(A58&lt;&gt;"",L58&gt;3),"No","Yes")</f>
        <v>Yes</v>
      </c>
      <c r="N58" s="2" t="str">
        <f t="shared" si="5"/>
        <v/>
      </c>
    </row>
    <row r="59" spans="1:15" ht="15" customHeight="1" x14ac:dyDescent="0.2">
      <c r="A59" s="985"/>
      <c r="B59" s="986"/>
      <c r="C59" s="986"/>
      <c r="D59" s="987"/>
      <c r="E59" s="260"/>
      <c r="F59" s="260"/>
      <c r="G59" s="259"/>
      <c r="H59" s="985"/>
      <c r="I59" s="986"/>
      <c r="J59" s="986"/>
      <c r="K59" s="987"/>
      <c r="L59" s="2">
        <f t="shared" si="4"/>
        <v>7</v>
      </c>
      <c r="M59" s="2" t="str">
        <f t="shared" si="6"/>
        <v>Yes</v>
      </c>
      <c r="N59" s="2" t="str">
        <f t="shared" si="5"/>
        <v/>
      </c>
    </row>
    <row r="60" spans="1:15" ht="15" customHeight="1" x14ac:dyDescent="0.2">
      <c r="A60" s="985"/>
      <c r="B60" s="986"/>
      <c r="C60" s="986"/>
      <c r="D60" s="987"/>
      <c r="E60" s="260"/>
      <c r="F60" s="260"/>
      <c r="G60" s="259"/>
      <c r="H60" s="985"/>
      <c r="I60" s="986"/>
      <c r="J60" s="986"/>
      <c r="K60" s="987"/>
      <c r="L60" s="2">
        <f t="shared" si="4"/>
        <v>7</v>
      </c>
      <c r="M60" s="2" t="str">
        <f t="shared" si="6"/>
        <v>Yes</v>
      </c>
      <c r="N60" s="2" t="str">
        <f t="shared" si="5"/>
        <v/>
      </c>
    </row>
    <row r="61" spans="1:15" ht="15" customHeight="1" x14ac:dyDescent="0.2">
      <c r="A61" s="985"/>
      <c r="B61" s="986"/>
      <c r="C61" s="986"/>
      <c r="D61" s="987"/>
      <c r="E61" s="260"/>
      <c r="F61" s="260"/>
      <c r="G61" s="259"/>
      <c r="H61" s="985"/>
      <c r="I61" s="986"/>
      <c r="J61" s="986"/>
      <c r="K61" s="987"/>
      <c r="L61" s="2">
        <f t="shared" si="4"/>
        <v>7</v>
      </c>
      <c r="M61" s="2" t="str">
        <f t="shared" si="6"/>
        <v>Yes</v>
      </c>
      <c r="N61" s="2" t="str">
        <f t="shared" si="5"/>
        <v/>
      </c>
    </row>
    <row r="62" spans="1:15" ht="15" customHeight="1" x14ac:dyDescent="0.2">
      <c r="A62" s="985"/>
      <c r="B62" s="986"/>
      <c r="C62" s="986"/>
      <c r="D62" s="987"/>
      <c r="E62" s="260"/>
      <c r="F62" s="260"/>
      <c r="G62" s="259"/>
      <c r="H62" s="985"/>
      <c r="I62" s="986"/>
      <c r="J62" s="986"/>
      <c r="K62" s="987"/>
      <c r="L62" s="2">
        <f t="shared" si="4"/>
        <v>7</v>
      </c>
      <c r="M62" s="2" t="str">
        <f t="shared" si="6"/>
        <v>Yes</v>
      </c>
      <c r="N62" s="2" t="str">
        <f t="shared" si="5"/>
        <v/>
      </c>
    </row>
    <row r="63" spans="1:15" ht="15" customHeight="1" x14ac:dyDescent="0.2">
      <c r="A63" s="985"/>
      <c r="B63" s="986"/>
      <c r="C63" s="986"/>
      <c r="D63" s="987"/>
      <c r="E63" s="260"/>
      <c r="F63" s="260"/>
      <c r="G63" s="259"/>
      <c r="H63" s="985"/>
      <c r="I63" s="986"/>
      <c r="J63" s="986"/>
      <c r="K63" s="987"/>
      <c r="L63" s="2">
        <f t="shared" si="4"/>
        <v>7</v>
      </c>
      <c r="M63" s="2" t="str">
        <f t="shared" si="6"/>
        <v>Yes</v>
      </c>
      <c r="N63" s="2" t="str">
        <f t="shared" si="5"/>
        <v/>
      </c>
    </row>
    <row r="64" spans="1:15" ht="15" customHeight="1" x14ac:dyDescent="0.2">
      <c r="A64" s="985"/>
      <c r="B64" s="986"/>
      <c r="C64" s="986"/>
      <c r="D64" s="987"/>
      <c r="E64" s="260"/>
      <c r="F64" s="260"/>
      <c r="G64" s="259"/>
      <c r="H64" s="985"/>
      <c r="I64" s="986"/>
      <c r="J64" s="986"/>
      <c r="K64" s="987"/>
      <c r="L64" s="2">
        <f t="shared" si="4"/>
        <v>7</v>
      </c>
      <c r="M64" s="2" t="str">
        <f t="shared" si="6"/>
        <v>Yes</v>
      </c>
      <c r="N64" s="2" t="str">
        <f t="shared" si="5"/>
        <v/>
      </c>
    </row>
    <row r="65" spans="1:14" ht="15" customHeight="1" x14ac:dyDescent="0.2">
      <c r="A65" s="985"/>
      <c r="B65" s="986"/>
      <c r="C65" s="986"/>
      <c r="D65" s="987"/>
      <c r="E65" s="260"/>
      <c r="F65" s="260"/>
      <c r="G65" s="259"/>
      <c r="H65" s="985"/>
      <c r="I65" s="986"/>
      <c r="J65" s="986"/>
      <c r="K65" s="987"/>
      <c r="L65" s="2">
        <f t="shared" si="4"/>
        <v>7</v>
      </c>
      <c r="M65" s="2" t="str">
        <f t="shared" si="6"/>
        <v>Yes</v>
      </c>
      <c r="N65" s="2" t="str">
        <f t="shared" si="5"/>
        <v/>
      </c>
    </row>
    <row r="66" spans="1:14" ht="15" customHeight="1" x14ac:dyDescent="0.2">
      <c r="A66" s="985"/>
      <c r="B66" s="986"/>
      <c r="C66" s="986"/>
      <c r="D66" s="987"/>
      <c r="E66" s="260"/>
      <c r="F66" s="260"/>
      <c r="G66" s="259"/>
      <c r="H66" s="985"/>
      <c r="I66" s="986"/>
      <c r="J66" s="986"/>
      <c r="K66" s="987"/>
      <c r="L66" s="2">
        <f t="shared" si="4"/>
        <v>7</v>
      </c>
      <c r="M66" s="2" t="str">
        <f t="shared" si="6"/>
        <v>Yes</v>
      </c>
      <c r="N66" s="2" t="str">
        <f t="shared" si="5"/>
        <v/>
      </c>
    </row>
    <row r="67" spans="1:14" ht="15" customHeight="1" x14ac:dyDescent="0.2">
      <c r="A67" s="985"/>
      <c r="B67" s="986"/>
      <c r="C67" s="986"/>
      <c r="D67" s="987"/>
      <c r="E67" s="260"/>
      <c r="F67" s="260"/>
      <c r="G67" s="259"/>
      <c r="H67" s="985"/>
      <c r="I67" s="986"/>
      <c r="J67" s="986"/>
      <c r="K67" s="987"/>
      <c r="L67" s="2">
        <f t="shared" si="4"/>
        <v>7</v>
      </c>
      <c r="M67" s="2" t="str">
        <f t="shared" si="6"/>
        <v>Yes</v>
      </c>
      <c r="N67" s="2" t="str">
        <f t="shared" si="5"/>
        <v/>
      </c>
    </row>
    <row r="68" spans="1:14" ht="15" customHeight="1" x14ac:dyDescent="0.2">
      <c r="A68" s="985"/>
      <c r="B68" s="986"/>
      <c r="C68" s="986"/>
      <c r="D68" s="987"/>
      <c r="E68" s="260"/>
      <c r="F68" s="260"/>
      <c r="G68" s="259"/>
      <c r="H68" s="985"/>
      <c r="I68" s="986"/>
      <c r="J68" s="986"/>
      <c r="K68" s="987"/>
      <c r="L68" s="2">
        <f t="shared" si="4"/>
        <v>7</v>
      </c>
      <c r="M68" s="2" t="str">
        <f t="shared" si="6"/>
        <v>Yes</v>
      </c>
      <c r="N68" s="2" t="str">
        <f t="shared" si="5"/>
        <v/>
      </c>
    </row>
    <row r="69" spans="1:14" ht="15" customHeight="1" x14ac:dyDescent="0.2">
      <c r="A69" s="985"/>
      <c r="B69" s="986"/>
      <c r="C69" s="986"/>
      <c r="D69" s="987"/>
      <c r="E69" s="260"/>
      <c r="F69" s="260"/>
      <c r="G69" s="259"/>
      <c r="H69" s="985"/>
      <c r="I69" s="986"/>
      <c r="J69" s="986"/>
      <c r="K69" s="987"/>
      <c r="L69" s="2">
        <f t="shared" si="4"/>
        <v>7</v>
      </c>
      <c r="M69" s="2" t="str">
        <f t="shared" si="6"/>
        <v>Yes</v>
      </c>
      <c r="N69" s="2" t="str">
        <f t="shared" si="5"/>
        <v/>
      </c>
    </row>
    <row r="70" spans="1:14" ht="15" customHeight="1" x14ac:dyDescent="0.2">
      <c r="A70" s="985"/>
      <c r="B70" s="986"/>
      <c r="C70" s="986"/>
      <c r="D70" s="987"/>
      <c r="E70" s="260"/>
      <c r="F70" s="260"/>
      <c r="G70" s="259"/>
      <c r="H70" s="985"/>
      <c r="I70" s="986"/>
      <c r="J70" s="986"/>
      <c r="K70" s="987"/>
      <c r="L70" s="2">
        <f t="shared" si="4"/>
        <v>7</v>
      </c>
      <c r="M70" s="2" t="str">
        <f t="shared" si="6"/>
        <v>Yes</v>
      </c>
      <c r="N70" s="2" t="str">
        <f t="shared" si="5"/>
        <v/>
      </c>
    </row>
    <row r="71" spans="1:14" ht="15" customHeight="1" x14ac:dyDescent="0.2">
      <c r="A71" s="985"/>
      <c r="B71" s="986"/>
      <c r="C71" s="986"/>
      <c r="D71" s="987"/>
      <c r="E71" s="260"/>
      <c r="F71" s="260"/>
      <c r="G71" s="259"/>
      <c r="H71" s="985"/>
      <c r="I71" s="986"/>
      <c r="J71" s="986"/>
      <c r="K71" s="987"/>
      <c r="L71" s="2">
        <f t="shared" si="4"/>
        <v>7</v>
      </c>
      <c r="M71" s="2" t="str">
        <f t="shared" si="6"/>
        <v>Yes</v>
      </c>
      <c r="N71" s="2" t="str">
        <f t="shared" si="5"/>
        <v/>
      </c>
    </row>
    <row r="72" spans="1:14" ht="15" customHeight="1" x14ac:dyDescent="0.2">
      <c r="A72" s="985"/>
      <c r="B72" s="986"/>
      <c r="C72" s="986"/>
      <c r="D72" s="987"/>
      <c r="E72" s="260"/>
      <c r="F72" s="260"/>
      <c r="G72" s="259"/>
      <c r="H72" s="985"/>
      <c r="I72" s="986"/>
      <c r="J72" s="986"/>
      <c r="K72" s="987"/>
      <c r="L72" s="2">
        <f t="shared" si="4"/>
        <v>7</v>
      </c>
      <c r="M72" s="2" t="str">
        <f t="shared" si="6"/>
        <v>Yes</v>
      </c>
      <c r="N72" s="2" t="str">
        <f t="shared" si="5"/>
        <v/>
      </c>
    </row>
    <row r="73" spans="1:14" ht="15" customHeight="1" x14ac:dyDescent="0.2">
      <c r="A73" s="988" t="s">
        <v>91</v>
      </c>
      <c r="B73" s="989"/>
      <c r="C73" s="989"/>
      <c r="D73" s="989"/>
      <c r="E73" s="989"/>
      <c r="F73" s="990"/>
      <c r="G73" s="991">
        <f>SUM(G48:G72)</f>
        <v>72817.87</v>
      </c>
      <c r="H73" s="992"/>
      <c r="I73" s="992"/>
      <c r="J73" s="992"/>
      <c r="K73" s="993"/>
      <c r="M73" s="2">
        <f>COUNTIF(M48:M72,"Yes")</f>
        <v>25</v>
      </c>
    </row>
    <row r="74" spans="1:14" ht="15" customHeight="1" x14ac:dyDescent="0.2">
      <c r="A74" s="1013"/>
      <c r="B74" s="1014"/>
      <c r="C74" s="1014"/>
      <c r="D74" s="1014"/>
      <c r="E74" s="1014"/>
      <c r="F74" s="1014"/>
      <c r="G74" s="1014"/>
      <c r="H74" s="1014"/>
      <c r="I74" s="1014"/>
      <c r="J74" s="1014"/>
      <c r="K74" s="1015"/>
    </row>
    <row r="75" spans="1:14" ht="18" customHeight="1" x14ac:dyDescent="0.2">
      <c r="A75" s="997" t="s">
        <v>45</v>
      </c>
      <c r="B75" s="998"/>
      <c r="C75" s="998"/>
      <c r="D75" s="998"/>
      <c r="E75" s="998"/>
      <c r="F75" s="998"/>
      <c r="G75" s="998"/>
      <c r="H75" s="998"/>
      <c r="I75" s="998"/>
      <c r="J75" s="998"/>
      <c r="K75" s="999"/>
    </row>
    <row r="76" spans="1:14" ht="18" customHeight="1" x14ac:dyDescent="0.2">
      <c r="A76" s="997" t="s">
        <v>480</v>
      </c>
      <c r="B76" s="998"/>
      <c r="C76" s="998"/>
      <c r="D76" s="998"/>
      <c r="E76" s="998"/>
      <c r="F76" s="998"/>
      <c r="G76" s="998"/>
      <c r="H76" s="998"/>
      <c r="I76" s="998"/>
      <c r="J76" s="998"/>
      <c r="K76" s="999"/>
    </row>
    <row r="77" spans="1:14" ht="15" customHeight="1" x14ac:dyDescent="0.2">
      <c r="A77" s="1000" t="s">
        <v>49</v>
      </c>
      <c r="B77" s="1001"/>
      <c r="C77" s="1001"/>
      <c r="D77" s="1002"/>
      <c r="E77" s="1009" t="s">
        <v>140</v>
      </c>
      <c r="F77" s="1009" t="s">
        <v>139</v>
      </c>
      <c r="G77" s="1012" t="s">
        <v>104</v>
      </c>
      <c r="H77" s="1000" t="s">
        <v>53</v>
      </c>
      <c r="I77" s="1027"/>
      <c r="J77" s="1027"/>
      <c r="K77" s="1028"/>
    </row>
    <row r="78" spans="1:14" ht="15" customHeight="1" x14ac:dyDescent="0.2">
      <c r="A78" s="1003"/>
      <c r="B78" s="1004"/>
      <c r="C78" s="1004"/>
      <c r="D78" s="1005"/>
      <c r="E78" s="1010"/>
      <c r="F78" s="1010"/>
      <c r="G78" s="1010"/>
      <c r="H78" s="1029"/>
      <c r="I78" s="1030"/>
      <c r="J78" s="1030"/>
      <c r="K78" s="1031"/>
    </row>
    <row r="79" spans="1:14" ht="15" customHeight="1" x14ac:dyDescent="0.2">
      <c r="A79" s="1003"/>
      <c r="B79" s="1004"/>
      <c r="C79" s="1004"/>
      <c r="D79" s="1005"/>
      <c r="E79" s="1010"/>
      <c r="F79" s="1010"/>
      <c r="G79" s="1010"/>
      <c r="H79" s="1029"/>
      <c r="I79" s="1030"/>
      <c r="J79" s="1030"/>
      <c r="K79" s="1031"/>
    </row>
    <row r="80" spans="1:14" ht="15" customHeight="1" x14ac:dyDescent="0.2">
      <c r="A80" s="1003"/>
      <c r="B80" s="1004"/>
      <c r="C80" s="1004"/>
      <c r="D80" s="1005"/>
      <c r="E80" s="1010"/>
      <c r="F80" s="1010"/>
      <c r="G80" s="1010"/>
      <c r="H80" s="1029"/>
      <c r="I80" s="1030"/>
      <c r="J80" s="1030"/>
      <c r="K80" s="1031"/>
    </row>
    <row r="81" spans="1:14" ht="15" customHeight="1" x14ac:dyDescent="0.2">
      <c r="A81" s="1003"/>
      <c r="B81" s="1004"/>
      <c r="C81" s="1004"/>
      <c r="D81" s="1005"/>
      <c r="E81" s="1010"/>
      <c r="F81" s="1010"/>
      <c r="G81" s="1010"/>
      <c r="H81" s="1029"/>
      <c r="I81" s="1030"/>
      <c r="J81" s="1030"/>
      <c r="K81" s="1031"/>
    </row>
    <row r="82" spans="1:14" ht="14.25" customHeight="1" x14ac:dyDescent="0.2">
      <c r="A82" s="1006"/>
      <c r="B82" s="1007"/>
      <c r="C82" s="1007"/>
      <c r="D82" s="1008"/>
      <c r="E82" s="1011"/>
      <c r="F82" s="1011"/>
      <c r="G82" s="1011"/>
      <c r="H82" s="1032"/>
      <c r="I82" s="1033"/>
      <c r="J82" s="1033"/>
      <c r="K82" s="1034"/>
    </row>
    <row r="83" spans="1:14" ht="15" customHeight="1" x14ac:dyDescent="0.2">
      <c r="A83" s="985"/>
      <c r="B83" s="986"/>
      <c r="C83" s="986"/>
      <c r="D83" s="987"/>
      <c r="E83" s="260"/>
      <c r="F83" s="260"/>
      <c r="G83" s="259"/>
      <c r="H83" s="985"/>
      <c r="I83" s="1025"/>
      <c r="J83" s="1025"/>
      <c r="K83" s="1026"/>
      <c r="L83" s="2">
        <f t="shared" ref="L83:L107" si="7">COUNTBLANK(E83:K83)</f>
        <v>7</v>
      </c>
      <c r="M83" s="2" t="str">
        <f t="shared" ref="M83:M107" si="8">IF(AND(A83&lt;&gt;"",L83&gt;3),"No","Yes")</f>
        <v>Yes</v>
      </c>
      <c r="N83" s="2" t="str">
        <f t="shared" ref="N83:N107" si="9">CONCATENATE(E83,F83)</f>
        <v/>
      </c>
    </row>
    <row r="84" spans="1:14" ht="15" customHeight="1" x14ac:dyDescent="0.2">
      <c r="A84" s="985"/>
      <c r="B84" s="986"/>
      <c r="C84" s="986"/>
      <c r="D84" s="987"/>
      <c r="E84" s="260"/>
      <c r="F84" s="260"/>
      <c r="G84" s="259"/>
      <c r="H84" s="985"/>
      <c r="I84" s="986"/>
      <c r="J84" s="986"/>
      <c r="K84" s="987"/>
      <c r="L84" s="2">
        <f t="shared" si="7"/>
        <v>7</v>
      </c>
      <c r="M84" s="2" t="str">
        <f t="shared" si="8"/>
        <v>Yes</v>
      </c>
      <c r="N84" s="2" t="str">
        <f t="shared" si="9"/>
        <v/>
      </c>
    </row>
    <row r="85" spans="1:14" ht="15" customHeight="1" x14ac:dyDescent="0.2">
      <c r="A85" s="985"/>
      <c r="B85" s="986"/>
      <c r="C85" s="986"/>
      <c r="D85" s="987"/>
      <c r="E85" s="260"/>
      <c r="F85" s="260"/>
      <c r="G85" s="259"/>
      <c r="H85" s="985"/>
      <c r="I85" s="986"/>
      <c r="J85" s="986"/>
      <c r="K85" s="987"/>
      <c r="L85" s="2">
        <f t="shared" si="7"/>
        <v>7</v>
      </c>
      <c r="M85" s="2" t="str">
        <f t="shared" si="8"/>
        <v>Yes</v>
      </c>
      <c r="N85" s="2" t="str">
        <f t="shared" si="9"/>
        <v/>
      </c>
    </row>
    <row r="86" spans="1:14" ht="15" customHeight="1" x14ac:dyDescent="0.2">
      <c r="A86" s="985"/>
      <c r="B86" s="986"/>
      <c r="C86" s="986"/>
      <c r="D86" s="987"/>
      <c r="E86" s="260"/>
      <c r="F86" s="260"/>
      <c r="G86" s="259"/>
      <c r="H86" s="985"/>
      <c r="I86" s="986"/>
      <c r="J86" s="986"/>
      <c r="K86" s="987"/>
      <c r="L86" s="2">
        <f t="shared" si="7"/>
        <v>7</v>
      </c>
      <c r="M86" s="2" t="str">
        <f t="shared" si="8"/>
        <v>Yes</v>
      </c>
      <c r="N86" s="2" t="str">
        <f t="shared" si="9"/>
        <v/>
      </c>
    </row>
    <row r="87" spans="1:14" ht="15" customHeight="1" x14ac:dyDescent="0.2">
      <c r="A87" s="985"/>
      <c r="B87" s="986"/>
      <c r="C87" s="986"/>
      <c r="D87" s="987"/>
      <c r="E87" s="260"/>
      <c r="F87" s="260"/>
      <c r="G87" s="259"/>
      <c r="H87" s="985"/>
      <c r="I87" s="986"/>
      <c r="J87" s="986"/>
      <c r="K87" s="987"/>
      <c r="L87" s="2">
        <f t="shared" si="7"/>
        <v>7</v>
      </c>
      <c r="M87" s="2" t="str">
        <f t="shared" si="8"/>
        <v>Yes</v>
      </c>
      <c r="N87" s="2" t="str">
        <f t="shared" si="9"/>
        <v/>
      </c>
    </row>
    <row r="88" spans="1:14" ht="15" customHeight="1" x14ac:dyDescent="0.2">
      <c r="A88" s="985"/>
      <c r="B88" s="986"/>
      <c r="C88" s="986"/>
      <c r="D88" s="987"/>
      <c r="E88" s="260"/>
      <c r="F88" s="260"/>
      <c r="G88" s="259"/>
      <c r="H88" s="985"/>
      <c r="I88" s="986"/>
      <c r="J88" s="986"/>
      <c r="K88" s="987"/>
      <c r="L88" s="2">
        <f t="shared" si="7"/>
        <v>7</v>
      </c>
      <c r="M88" s="2" t="str">
        <f t="shared" si="8"/>
        <v>Yes</v>
      </c>
      <c r="N88" s="2" t="str">
        <f t="shared" si="9"/>
        <v/>
      </c>
    </row>
    <row r="89" spans="1:14" ht="15" customHeight="1" x14ac:dyDescent="0.2">
      <c r="A89" s="985"/>
      <c r="B89" s="986"/>
      <c r="C89" s="986"/>
      <c r="D89" s="987"/>
      <c r="E89" s="260"/>
      <c r="F89" s="260"/>
      <c r="G89" s="259"/>
      <c r="H89" s="985"/>
      <c r="I89" s="986"/>
      <c r="J89" s="986"/>
      <c r="K89" s="987"/>
      <c r="L89" s="2">
        <f t="shared" si="7"/>
        <v>7</v>
      </c>
      <c r="M89" s="2" t="str">
        <f t="shared" si="8"/>
        <v>Yes</v>
      </c>
      <c r="N89" s="2" t="str">
        <f t="shared" si="9"/>
        <v/>
      </c>
    </row>
    <row r="90" spans="1:14" ht="15" customHeight="1" x14ac:dyDescent="0.2">
      <c r="A90" s="985"/>
      <c r="B90" s="986"/>
      <c r="C90" s="986"/>
      <c r="D90" s="987"/>
      <c r="E90" s="260"/>
      <c r="F90" s="260"/>
      <c r="G90" s="259"/>
      <c r="H90" s="985"/>
      <c r="I90" s="986"/>
      <c r="J90" s="986"/>
      <c r="K90" s="987"/>
      <c r="L90" s="2">
        <f t="shared" si="7"/>
        <v>7</v>
      </c>
      <c r="M90" s="2" t="str">
        <f t="shared" si="8"/>
        <v>Yes</v>
      </c>
      <c r="N90" s="2" t="str">
        <f t="shared" si="9"/>
        <v/>
      </c>
    </row>
    <row r="91" spans="1:14" ht="15" customHeight="1" x14ac:dyDescent="0.2">
      <c r="A91" s="985"/>
      <c r="B91" s="986"/>
      <c r="C91" s="986"/>
      <c r="D91" s="987"/>
      <c r="E91" s="260"/>
      <c r="F91" s="260"/>
      <c r="G91" s="259"/>
      <c r="H91" s="985"/>
      <c r="I91" s="986"/>
      <c r="J91" s="986"/>
      <c r="K91" s="987"/>
      <c r="L91" s="2">
        <f t="shared" si="7"/>
        <v>7</v>
      </c>
      <c r="M91" s="2" t="str">
        <f t="shared" si="8"/>
        <v>Yes</v>
      </c>
      <c r="N91" s="2" t="str">
        <f t="shared" si="9"/>
        <v/>
      </c>
    </row>
    <row r="92" spans="1:14" ht="15" customHeight="1" x14ac:dyDescent="0.2">
      <c r="A92" s="985"/>
      <c r="B92" s="986"/>
      <c r="C92" s="986"/>
      <c r="D92" s="987"/>
      <c r="E92" s="260"/>
      <c r="F92" s="260"/>
      <c r="G92" s="259"/>
      <c r="H92" s="985"/>
      <c r="I92" s="986"/>
      <c r="J92" s="986"/>
      <c r="K92" s="987"/>
      <c r="L92" s="2">
        <f t="shared" si="7"/>
        <v>7</v>
      </c>
      <c r="M92" s="2" t="str">
        <f t="shared" si="8"/>
        <v>Yes</v>
      </c>
      <c r="N92" s="2" t="str">
        <f t="shared" si="9"/>
        <v/>
      </c>
    </row>
    <row r="93" spans="1:14" ht="15" customHeight="1" x14ac:dyDescent="0.2">
      <c r="A93" s="985"/>
      <c r="B93" s="986"/>
      <c r="C93" s="986"/>
      <c r="D93" s="987"/>
      <c r="E93" s="260"/>
      <c r="F93" s="260"/>
      <c r="G93" s="259"/>
      <c r="H93" s="985"/>
      <c r="I93" s="986"/>
      <c r="J93" s="986"/>
      <c r="K93" s="987"/>
      <c r="L93" s="2">
        <f t="shared" si="7"/>
        <v>7</v>
      </c>
      <c r="M93" s="2" t="str">
        <f t="shared" si="8"/>
        <v>Yes</v>
      </c>
      <c r="N93" s="2" t="str">
        <f t="shared" si="9"/>
        <v/>
      </c>
    </row>
    <row r="94" spans="1:14" ht="15" customHeight="1" x14ac:dyDescent="0.2">
      <c r="A94" s="985"/>
      <c r="B94" s="986"/>
      <c r="C94" s="986"/>
      <c r="D94" s="987"/>
      <c r="E94" s="260"/>
      <c r="F94" s="260"/>
      <c r="G94" s="259"/>
      <c r="H94" s="985"/>
      <c r="I94" s="986"/>
      <c r="J94" s="986"/>
      <c r="K94" s="987"/>
      <c r="L94" s="2">
        <f t="shared" si="7"/>
        <v>7</v>
      </c>
      <c r="M94" s="2" t="str">
        <f t="shared" si="8"/>
        <v>Yes</v>
      </c>
      <c r="N94" s="2" t="str">
        <f t="shared" si="9"/>
        <v/>
      </c>
    </row>
    <row r="95" spans="1:14" ht="15" customHeight="1" x14ac:dyDescent="0.2">
      <c r="A95" s="985"/>
      <c r="B95" s="986"/>
      <c r="C95" s="986"/>
      <c r="D95" s="987"/>
      <c r="E95" s="260"/>
      <c r="F95" s="260"/>
      <c r="G95" s="259"/>
      <c r="H95" s="985"/>
      <c r="I95" s="986"/>
      <c r="J95" s="986"/>
      <c r="K95" s="987"/>
      <c r="L95" s="2">
        <f t="shared" si="7"/>
        <v>7</v>
      </c>
      <c r="M95" s="2" t="str">
        <f t="shared" si="8"/>
        <v>Yes</v>
      </c>
      <c r="N95" s="2" t="str">
        <f t="shared" si="9"/>
        <v/>
      </c>
    </row>
    <row r="96" spans="1:14" ht="15" customHeight="1" x14ac:dyDescent="0.2">
      <c r="A96" s="985"/>
      <c r="B96" s="986"/>
      <c r="C96" s="986"/>
      <c r="D96" s="987"/>
      <c r="E96" s="260"/>
      <c r="F96" s="260"/>
      <c r="G96" s="259"/>
      <c r="H96" s="985"/>
      <c r="I96" s="986"/>
      <c r="J96" s="986"/>
      <c r="K96" s="987"/>
      <c r="L96" s="2">
        <f t="shared" si="7"/>
        <v>7</v>
      </c>
      <c r="M96" s="2" t="str">
        <f t="shared" si="8"/>
        <v>Yes</v>
      </c>
      <c r="N96" s="2" t="str">
        <f t="shared" si="9"/>
        <v/>
      </c>
    </row>
    <row r="97" spans="1:14" ht="15" customHeight="1" x14ac:dyDescent="0.2">
      <c r="A97" s="985"/>
      <c r="B97" s="986"/>
      <c r="C97" s="986"/>
      <c r="D97" s="987"/>
      <c r="E97" s="260"/>
      <c r="F97" s="260"/>
      <c r="G97" s="259"/>
      <c r="H97" s="985"/>
      <c r="I97" s="986"/>
      <c r="J97" s="986"/>
      <c r="K97" s="987"/>
      <c r="L97" s="2">
        <f t="shared" si="7"/>
        <v>7</v>
      </c>
      <c r="M97" s="2" t="str">
        <f t="shared" si="8"/>
        <v>Yes</v>
      </c>
      <c r="N97" s="2" t="str">
        <f t="shared" si="9"/>
        <v/>
      </c>
    </row>
    <row r="98" spans="1:14" ht="15" customHeight="1" x14ac:dyDescent="0.2">
      <c r="A98" s="985"/>
      <c r="B98" s="986"/>
      <c r="C98" s="986"/>
      <c r="D98" s="987"/>
      <c r="E98" s="260"/>
      <c r="F98" s="260"/>
      <c r="G98" s="259"/>
      <c r="H98" s="985"/>
      <c r="I98" s="986"/>
      <c r="J98" s="986"/>
      <c r="K98" s="987"/>
      <c r="L98" s="2">
        <f t="shared" si="7"/>
        <v>7</v>
      </c>
      <c r="M98" s="2" t="str">
        <f t="shared" si="8"/>
        <v>Yes</v>
      </c>
      <c r="N98" s="2" t="str">
        <f t="shared" si="9"/>
        <v/>
      </c>
    </row>
    <row r="99" spans="1:14" ht="15" customHeight="1" x14ac:dyDescent="0.2">
      <c r="A99" s="985"/>
      <c r="B99" s="986"/>
      <c r="C99" s="986"/>
      <c r="D99" s="987"/>
      <c r="E99" s="260"/>
      <c r="F99" s="260"/>
      <c r="G99" s="259"/>
      <c r="H99" s="985"/>
      <c r="I99" s="986"/>
      <c r="J99" s="986"/>
      <c r="K99" s="987"/>
      <c r="L99" s="2">
        <f t="shared" si="7"/>
        <v>7</v>
      </c>
      <c r="M99" s="2" t="str">
        <f t="shared" si="8"/>
        <v>Yes</v>
      </c>
      <c r="N99" s="2" t="str">
        <f t="shared" si="9"/>
        <v/>
      </c>
    </row>
    <row r="100" spans="1:14" ht="15" customHeight="1" x14ac:dyDescent="0.2">
      <c r="A100" s="985"/>
      <c r="B100" s="986"/>
      <c r="C100" s="986"/>
      <c r="D100" s="987"/>
      <c r="E100" s="260"/>
      <c r="F100" s="260"/>
      <c r="G100" s="259"/>
      <c r="H100" s="985"/>
      <c r="I100" s="986"/>
      <c r="J100" s="986"/>
      <c r="K100" s="987"/>
      <c r="L100" s="2">
        <f t="shared" si="7"/>
        <v>7</v>
      </c>
      <c r="M100" s="2" t="str">
        <f t="shared" si="8"/>
        <v>Yes</v>
      </c>
      <c r="N100" s="2" t="str">
        <f t="shared" si="9"/>
        <v/>
      </c>
    </row>
    <row r="101" spans="1:14" ht="15" customHeight="1" x14ac:dyDescent="0.2">
      <c r="A101" s="985"/>
      <c r="B101" s="986"/>
      <c r="C101" s="986"/>
      <c r="D101" s="987"/>
      <c r="E101" s="260"/>
      <c r="F101" s="260"/>
      <c r="G101" s="259"/>
      <c r="H101" s="985"/>
      <c r="I101" s="986"/>
      <c r="J101" s="986"/>
      <c r="K101" s="987"/>
      <c r="L101" s="2">
        <f t="shared" si="7"/>
        <v>7</v>
      </c>
      <c r="M101" s="2" t="str">
        <f t="shared" si="8"/>
        <v>Yes</v>
      </c>
      <c r="N101" s="2" t="str">
        <f t="shared" si="9"/>
        <v/>
      </c>
    </row>
    <row r="102" spans="1:14" ht="15" customHeight="1" x14ac:dyDescent="0.2">
      <c r="A102" s="985"/>
      <c r="B102" s="986"/>
      <c r="C102" s="986"/>
      <c r="D102" s="987"/>
      <c r="E102" s="260"/>
      <c r="F102" s="260"/>
      <c r="G102" s="259"/>
      <c r="H102" s="985"/>
      <c r="I102" s="986"/>
      <c r="J102" s="986"/>
      <c r="K102" s="987"/>
      <c r="L102" s="2">
        <f t="shared" si="7"/>
        <v>7</v>
      </c>
      <c r="M102" s="2" t="str">
        <f t="shared" si="8"/>
        <v>Yes</v>
      </c>
      <c r="N102" s="2" t="str">
        <f t="shared" si="9"/>
        <v/>
      </c>
    </row>
    <row r="103" spans="1:14" ht="15" customHeight="1" x14ac:dyDescent="0.2">
      <c r="A103" s="985"/>
      <c r="B103" s="986"/>
      <c r="C103" s="986"/>
      <c r="D103" s="987"/>
      <c r="E103" s="260"/>
      <c r="F103" s="260"/>
      <c r="G103" s="259"/>
      <c r="H103" s="985"/>
      <c r="I103" s="986"/>
      <c r="J103" s="986"/>
      <c r="K103" s="987"/>
      <c r="L103" s="2">
        <f t="shared" si="7"/>
        <v>7</v>
      </c>
      <c r="M103" s="2" t="str">
        <f t="shared" si="8"/>
        <v>Yes</v>
      </c>
      <c r="N103" s="2" t="str">
        <f t="shared" si="9"/>
        <v/>
      </c>
    </row>
    <row r="104" spans="1:14" ht="15" customHeight="1" x14ac:dyDescent="0.2">
      <c r="A104" s="985"/>
      <c r="B104" s="986"/>
      <c r="C104" s="986"/>
      <c r="D104" s="987"/>
      <c r="E104" s="260"/>
      <c r="F104" s="260"/>
      <c r="G104" s="259"/>
      <c r="H104" s="985"/>
      <c r="I104" s="986"/>
      <c r="J104" s="986"/>
      <c r="K104" s="987"/>
      <c r="L104" s="2">
        <f t="shared" si="7"/>
        <v>7</v>
      </c>
      <c r="M104" s="2" t="str">
        <f t="shared" si="8"/>
        <v>Yes</v>
      </c>
      <c r="N104" s="2" t="str">
        <f t="shared" si="9"/>
        <v/>
      </c>
    </row>
    <row r="105" spans="1:14" ht="15" customHeight="1" x14ac:dyDescent="0.2">
      <c r="A105" s="985"/>
      <c r="B105" s="986"/>
      <c r="C105" s="986"/>
      <c r="D105" s="987"/>
      <c r="E105" s="260"/>
      <c r="F105" s="260"/>
      <c r="G105" s="259"/>
      <c r="H105" s="985"/>
      <c r="I105" s="986"/>
      <c r="J105" s="986"/>
      <c r="K105" s="987"/>
      <c r="L105" s="2">
        <f t="shared" si="7"/>
        <v>7</v>
      </c>
      <c r="M105" s="2" t="str">
        <f t="shared" si="8"/>
        <v>Yes</v>
      </c>
      <c r="N105" s="2" t="str">
        <f t="shared" si="9"/>
        <v/>
      </c>
    </row>
    <row r="106" spans="1:14" ht="15" customHeight="1" x14ac:dyDescent="0.2">
      <c r="A106" s="985"/>
      <c r="B106" s="986"/>
      <c r="C106" s="986"/>
      <c r="D106" s="987"/>
      <c r="E106" s="260"/>
      <c r="F106" s="260"/>
      <c r="G106" s="259"/>
      <c r="H106" s="985"/>
      <c r="I106" s="986"/>
      <c r="J106" s="986"/>
      <c r="K106" s="987"/>
      <c r="L106" s="2">
        <f t="shared" si="7"/>
        <v>7</v>
      </c>
      <c r="M106" s="2" t="str">
        <f t="shared" si="8"/>
        <v>Yes</v>
      </c>
      <c r="N106" s="2" t="str">
        <f t="shared" si="9"/>
        <v/>
      </c>
    </row>
    <row r="107" spans="1:14" ht="15" customHeight="1" x14ac:dyDescent="0.2">
      <c r="A107" s="985"/>
      <c r="B107" s="986"/>
      <c r="C107" s="986"/>
      <c r="D107" s="987"/>
      <c r="E107" s="260"/>
      <c r="F107" s="260"/>
      <c r="G107" s="259"/>
      <c r="H107" s="985"/>
      <c r="I107" s="986"/>
      <c r="J107" s="986"/>
      <c r="K107" s="987"/>
      <c r="L107" s="2">
        <f t="shared" si="7"/>
        <v>7</v>
      </c>
      <c r="M107" s="2" t="str">
        <f t="shared" si="8"/>
        <v>Yes</v>
      </c>
      <c r="N107" s="2" t="str">
        <f t="shared" si="9"/>
        <v/>
      </c>
    </row>
    <row r="108" spans="1:14" ht="15" customHeight="1" x14ac:dyDescent="0.2">
      <c r="A108" s="988" t="s">
        <v>96</v>
      </c>
      <c r="B108" s="989"/>
      <c r="C108" s="989"/>
      <c r="D108" s="989"/>
      <c r="E108" s="989"/>
      <c r="F108" s="990"/>
      <c r="G108" s="991">
        <f>SUM(G83:G107)</f>
        <v>0</v>
      </c>
      <c r="H108" s="992"/>
      <c r="I108" s="992"/>
      <c r="J108" s="992"/>
      <c r="K108" s="993"/>
      <c r="M108" s="2">
        <f>COUNTIF(M83:M107,"Yes")</f>
        <v>25</v>
      </c>
    </row>
    <row r="109" spans="1:14" ht="15" customHeight="1" x14ac:dyDescent="0.2">
      <c r="A109" s="1013"/>
      <c r="B109" s="1014"/>
      <c r="C109" s="1014"/>
      <c r="D109" s="1014"/>
      <c r="E109" s="1014"/>
      <c r="F109" s="1014"/>
      <c r="G109" s="1014"/>
      <c r="H109" s="1014"/>
      <c r="I109" s="1014"/>
      <c r="J109" s="1014"/>
      <c r="K109" s="1015"/>
    </row>
    <row r="110" spans="1:14" ht="18" customHeight="1" x14ac:dyDescent="0.2">
      <c r="A110" s="997" t="s">
        <v>97</v>
      </c>
      <c r="B110" s="998"/>
      <c r="C110" s="998"/>
      <c r="D110" s="998"/>
      <c r="E110" s="998"/>
      <c r="F110" s="998"/>
      <c r="G110" s="998"/>
      <c r="H110" s="998"/>
      <c r="I110" s="998"/>
      <c r="J110" s="998"/>
      <c r="K110" s="999"/>
    </row>
    <row r="111" spans="1:14" ht="18" customHeight="1" x14ac:dyDescent="0.2">
      <c r="A111" s="997" t="s">
        <v>480</v>
      </c>
      <c r="B111" s="998"/>
      <c r="C111" s="998"/>
      <c r="D111" s="998"/>
      <c r="E111" s="998"/>
      <c r="F111" s="998"/>
      <c r="G111" s="998"/>
      <c r="H111" s="998"/>
      <c r="I111" s="998"/>
      <c r="J111" s="998"/>
      <c r="K111" s="999"/>
    </row>
    <row r="112" spans="1:14" ht="15" customHeight="1" x14ac:dyDescent="0.2">
      <c r="A112" s="1000" t="s">
        <v>49</v>
      </c>
      <c r="B112" s="1001"/>
      <c r="C112" s="1001"/>
      <c r="D112" s="1002"/>
      <c r="E112" s="1009" t="s">
        <v>140</v>
      </c>
      <c r="F112" s="1009" t="s">
        <v>139</v>
      </c>
      <c r="G112" s="1012" t="s">
        <v>104</v>
      </c>
      <c r="H112" s="1000" t="s">
        <v>53</v>
      </c>
      <c r="I112" s="1001"/>
      <c r="J112" s="1001"/>
      <c r="K112" s="1002"/>
    </row>
    <row r="113" spans="1:16" ht="15" customHeight="1" x14ac:dyDescent="0.2">
      <c r="A113" s="1003"/>
      <c r="B113" s="1004"/>
      <c r="C113" s="1004"/>
      <c r="D113" s="1005"/>
      <c r="E113" s="1010"/>
      <c r="F113" s="1010"/>
      <c r="G113" s="1010"/>
      <c r="H113" s="1003"/>
      <c r="I113" s="1004"/>
      <c r="J113" s="1004"/>
      <c r="K113" s="1005"/>
    </row>
    <row r="114" spans="1:16" ht="15" customHeight="1" x14ac:dyDescent="0.2">
      <c r="A114" s="1003"/>
      <c r="B114" s="1004"/>
      <c r="C114" s="1004"/>
      <c r="D114" s="1005"/>
      <c r="E114" s="1010"/>
      <c r="F114" s="1010"/>
      <c r="G114" s="1010"/>
      <c r="H114" s="1003"/>
      <c r="I114" s="1004"/>
      <c r="J114" s="1004"/>
      <c r="K114" s="1005"/>
    </row>
    <row r="115" spans="1:16" ht="15" customHeight="1" x14ac:dyDescent="0.2">
      <c r="A115" s="1003"/>
      <c r="B115" s="1004"/>
      <c r="C115" s="1004"/>
      <c r="D115" s="1005"/>
      <c r="E115" s="1010"/>
      <c r="F115" s="1010"/>
      <c r="G115" s="1010"/>
      <c r="H115" s="1003"/>
      <c r="I115" s="1004"/>
      <c r="J115" s="1004"/>
      <c r="K115" s="1005"/>
    </row>
    <row r="116" spans="1:16" ht="15" customHeight="1" x14ac:dyDescent="0.2">
      <c r="A116" s="1003"/>
      <c r="B116" s="1004"/>
      <c r="C116" s="1004"/>
      <c r="D116" s="1005"/>
      <c r="E116" s="1010"/>
      <c r="F116" s="1010"/>
      <c r="G116" s="1010"/>
      <c r="H116" s="1003"/>
      <c r="I116" s="1004"/>
      <c r="J116" s="1004"/>
      <c r="K116" s="1005"/>
    </row>
    <row r="117" spans="1:16" ht="14.25" customHeight="1" x14ac:dyDescent="0.2">
      <c r="A117" s="1006"/>
      <c r="B117" s="1007"/>
      <c r="C117" s="1007"/>
      <c r="D117" s="1008"/>
      <c r="E117" s="1011"/>
      <c r="F117" s="1011"/>
      <c r="G117" s="1011"/>
      <c r="H117" s="1006"/>
      <c r="I117" s="1007"/>
      <c r="J117" s="1007"/>
      <c r="K117" s="1008"/>
    </row>
    <row r="118" spans="1:16" ht="15" customHeight="1" x14ac:dyDescent="0.2">
      <c r="A118" s="985" t="s">
        <v>1064</v>
      </c>
      <c r="B118" s="986"/>
      <c r="C118" s="986"/>
      <c r="D118" s="987"/>
      <c r="E118" s="260" t="s">
        <v>51</v>
      </c>
      <c r="F118" s="260" t="s">
        <v>109</v>
      </c>
      <c r="G118" s="259">
        <v>20922.349999999999</v>
      </c>
      <c r="H118" s="985" t="s">
        <v>1065</v>
      </c>
      <c r="I118" s="986"/>
      <c r="J118" s="986"/>
      <c r="K118" s="987"/>
      <c r="L118" s="2">
        <f t="shared" ref="L118:L134" si="10">COUNTBLANK(E118:K118)</f>
        <v>3</v>
      </c>
      <c r="M118" s="2" t="str">
        <f t="shared" ref="M118:M134" si="11">IF(AND(A118&lt;&gt;"",L118&gt;3),"No","Yes")</f>
        <v>Yes</v>
      </c>
      <c r="N118" s="2" t="str">
        <f t="shared" ref="N118:N134" si="12">CONCATENATE(E118,F118)</f>
        <v>Support ServicesProf. Development</v>
      </c>
    </row>
    <row r="119" spans="1:16" ht="15" customHeight="1" x14ac:dyDescent="0.2">
      <c r="A119" s="985" t="s">
        <v>1067</v>
      </c>
      <c r="B119" s="986"/>
      <c r="C119" s="986"/>
      <c r="D119" s="987"/>
      <c r="E119" s="260" t="s">
        <v>51</v>
      </c>
      <c r="F119" s="260" t="s">
        <v>109</v>
      </c>
      <c r="G119" s="259">
        <v>23000</v>
      </c>
      <c r="H119" s="985" t="s">
        <v>1068</v>
      </c>
      <c r="I119" s="986"/>
      <c r="J119" s="986"/>
      <c r="K119" s="987"/>
      <c r="L119" s="2">
        <f t="shared" si="10"/>
        <v>3</v>
      </c>
      <c r="M119" s="2" t="str">
        <f t="shared" si="11"/>
        <v>Yes</v>
      </c>
      <c r="N119" s="2" t="str">
        <f t="shared" si="12"/>
        <v>Support ServicesProf. Development</v>
      </c>
    </row>
    <row r="120" spans="1:16" ht="15" customHeight="1" x14ac:dyDescent="0.2">
      <c r="A120" s="985" t="s">
        <v>1069</v>
      </c>
      <c r="B120" s="986"/>
      <c r="C120" s="986"/>
      <c r="D120" s="987"/>
      <c r="E120" s="260" t="s">
        <v>51</v>
      </c>
      <c r="F120" s="260" t="s">
        <v>133</v>
      </c>
      <c r="G120" s="259">
        <v>51000</v>
      </c>
      <c r="H120" s="985" t="s">
        <v>1070</v>
      </c>
      <c r="I120" s="986"/>
      <c r="J120" s="986"/>
      <c r="K120" s="987"/>
      <c r="L120" s="2">
        <f t="shared" si="10"/>
        <v>3</v>
      </c>
      <c r="M120" s="2" t="str">
        <f t="shared" si="11"/>
        <v>Yes</v>
      </c>
      <c r="N120" s="2" t="str">
        <f t="shared" si="12"/>
        <v>Support ServicesEd. Technology</v>
      </c>
    </row>
    <row r="121" spans="1:16" ht="15" customHeight="1" x14ac:dyDescent="0.2">
      <c r="A121" s="985" t="s">
        <v>1071</v>
      </c>
      <c r="B121" s="986"/>
      <c r="C121" s="986"/>
      <c r="D121" s="987"/>
      <c r="E121" s="260" t="s">
        <v>51</v>
      </c>
      <c r="F121" s="260" t="s">
        <v>131</v>
      </c>
      <c r="G121" s="259">
        <v>2500</v>
      </c>
      <c r="H121" s="985" t="s">
        <v>1072</v>
      </c>
      <c r="I121" s="986"/>
      <c r="J121" s="986"/>
      <c r="K121" s="987"/>
      <c r="L121" s="2">
        <f t="shared" si="10"/>
        <v>3</v>
      </c>
      <c r="M121" s="2" t="str">
        <f t="shared" si="11"/>
        <v>Yes</v>
      </c>
      <c r="N121" s="2" t="str">
        <f t="shared" si="12"/>
        <v>Support ServicesParent/Community</v>
      </c>
    </row>
    <row r="122" spans="1:16" s="143" customFormat="1" ht="15" customHeight="1" x14ac:dyDescent="0.2">
      <c r="A122" s="1019" t="s">
        <v>1118</v>
      </c>
      <c r="B122" s="1020"/>
      <c r="C122" s="1020"/>
      <c r="D122" s="1021"/>
      <c r="E122" s="273" t="s">
        <v>51</v>
      </c>
      <c r="F122" s="273" t="s">
        <v>131</v>
      </c>
      <c r="G122" s="272">
        <v>4000</v>
      </c>
      <c r="H122" s="1019" t="s">
        <v>1119</v>
      </c>
      <c r="I122" s="1020"/>
      <c r="J122" s="1020"/>
      <c r="K122" s="1021"/>
      <c r="L122" s="143">
        <f t="shared" si="10"/>
        <v>3</v>
      </c>
      <c r="M122" s="143" t="str">
        <f t="shared" si="11"/>
        <v>Yes</v>
      </c>
      <c r="N122" s="143" t="str">
        <f t="shared" si="12"/>
        <v>Support ServicesParent/Community</v>
      </c>
    </row>
    <row r="123" spans="1:16" s="268" customFormat="1" ht="15" customHeight="1" x14ac:dyDescent="0.2">
      <c r="A123" s="1022" t="s">
        <v>1073</v>
      </c>
      <c r="B123" s="1023"/>
      <c r="C123" s="1023"/>
      <c r="D123" s="1024"/>
      <c r="E123" s="271" t="s">
        <v>51</v>
      </c>
      <c r="F123" s="271" t="s">
        <v>108</v>
      </c>
      <c r="G123" s="270">
        <v>6327.65</v>
      </c>
      <c r="H123" s="1022" t="s">
        <v>108</v>
      </c>
      <c r="I123" s="1023"/>
      <c r="J123" s="1023"/>
      <c r="K123" s="1024"/>
      <c r="L123" s="268">
        <f t="shared" si="10"/>
        <v>3</v>
      </c>
      <c r="M123" s="268" t="str">
        <f t="shared" si="11"/>
        <v>Yes</v>
      </c>
      <c r="N123" s="268" t="str">
        <f t="shared" si="12"/>
        <v>Support ServicesEquitable Services</v>
      </c>
      <c r="P123" s="269">
        <f>G121+G122+G124+G125+G126+G127</f>
        <v>21000</v>
      </c>
    </row>
    <row r="124" spans="1:16" ht="15" customHeight="1" x14ac:dyDescent="0.2">
      <c r="A124" s="985" t="s">
        <v>1113</v>
      </c>
      <c r="B124" s="986"/>
      <c r="C124" s="986"/>
      <c r="D124" s="987"/>
      <c r="E124" s="260" t="s">
        <v>51</v>
      </c>
      <c r="F124" s="260" t="s">
        <v>131</v>
      </c>
      <c r="G124" s="259">
        <v>1500</v>
      </c>
      <c r="H124" s="985" t="s">
        <v>1120</v>
      </c>
      <c r="I124" s="986"/>
      <c r="J124" s="986"/>
      <c r="K124" s="987"/>
      <c r="L124" s="2">
        <f t="shared" si="10"/>
        <v>3</v>
      </c>
      <c r="M124" s="2" t="str">
        <f t="shared" si="11"/>
        <v>Yes</v>
      </c>
      <c r="N124" s="2" t="str">
        <f t="shared" si="12"/>
        <v>Support ServicesParent/Community</v>
      </c>
    </row>
    <row r="125" spans="1:16" ht="15" customHeight="1" x14ac:dyDescent="0.2">
      <c r="A125" s="985" t="s">
        <v>1111</v>
      </c>
      <c r="B125" s="986"/>
      <c r="C125" s="986"/>
      <c r="D125" s="987"/>
      <c r="E125" s="260" t="s">
        <v>51</v>
      </c>
      <c r="F125" s="260" t="s">
        <v>131</v>
      </c>
      <c r="G125" s="259">
        <v>4000</v>
      </c>
      <c r="H125" s="985" t="s">
        <v>1112</v>
      </c>
      <c r="I125" s="986"/>
      <c r="J125" s="986"/>
      <c r="K125" s="987"/>
      <c r="L125" s="2">
        <f t="shared" si="10"/>
        <v>3</v>
      </c>
      <c r="M125" s="2" t="str">
        <f t="shared" si="11"/>
        <v>Yes</v>
      </c>
      <c r="N125" s="2" t="str">
        <f t="shared" si="12"/>
        <v>Support ServicesParent/Community</v>
      </c>
    </row>
    <row r="126" spans="1:16" ht="15" customHeight="1" x14ac:dyDescent="0.2">
      <c r="A126" s="985" t="s">
        <v>1114</v>
      </c>
      <c r="B126" s="986"/>
      <c r="C126" s="986"/>
      <c r="D126" s="987"/>
      <c r="E126" s="260" t="s">
        <v>51</v>
      </c>
      <c r="F126" s="260" t="s">
        <v>131</v>
      </c>
      <c r="G126" s="259">
        <v>6000</v>
      </c>
      <c r="H126" s="985" t="s">
        <v>1115</v>
      </c>
      <c r="I126" s="986"/>
      <c r="J126" s="986"/>
      <c r="K126" s="987"/>
      <c r="L126" s="2">
        <f t="shared" si="10"/>
        <v>3</v>
      </c>
      <c r="M126" s="2" t="str">
        <f t="shared" si="11"/>
        <v>Yes</v>
      </c>
      <c r="N126" s="2" t="str">
        <f t="shared" si="12"/>
        <v>Support ServicesParent/Community</v>
      </c>
    </row>
    <row r="127" spans="1:16" ht="15" customHeight="1" x14ac:dyDescent="0.2">
      <c r="A127" s="985" t="s">
        <v>1116</v>
      </c>
      <c r="B127" s="986"/>
      <c r="C127" s="986"/>
      <c r="D127" s="987"/>
      <c r="E127" s="260" t="s">
        <v>51</v>
      </c>
      <c r="F127" s="260" t="s">
        <v>131</v>
      </c>
      <c r="G127" s="259">
        <v>3000</v>
      </c>
      <c r="H127" s="985" t="s">
        <v>1117</v>
      </c>
      <c r="I127" s="986"/>
      <c r="J127" s="986"/>
      <c r="K127" s="987"/>
      <c r="L127" s="2">
        <f t="shared" si="10"/>
        <v>3</v>
      </c>
      <c r="M127" s="2" t="str">
        <f t="shared" si="11"/>
        <v>Yes</v>
      </c>
      <c r="N127" s="2" t="str">
        <f t="shared" si="12"/>
        <v>Support ServicesParent/Community</v>
      </c>
    </row>
    <row r="128" spans="1:16" s="265" customFormat="1" ht="15" customHeight="1" x14ac:dyDescent="0.2">
      <c r="A128" s="1016" t="s">
        <v>1133</v>
      </c>
      <c r="B128" s="1017"/>
      <c r="C128" s="1017"/>
      <c r="D128" s="1018"/>
      <c r="E128" s="267" t="s">
        <v>51</v>
      </c>
      <c r="F128" s="267" t="s">
        <v>129</v>
      </c>
      <c r="G128" s="266">
        <v>10000</v>
      </c>
      <c r="H128" s="1016" t="s">
        <v>1134</v>
      </c>
      <c r="I128" s="1017"/>
      <c r="J128" s="1017"/>
      <c r="K128" s="1018"/>
      <c r="L128" s="265">
        <f t="shared" si="10"/>
        <v>3</v>
      </c>
      <c r="M128" s="265" t="str">
        <f t="shared" si="11"/>
        <v>Yes</v>
      </c>
      <c r="N128" s="265" t="str">
        <f t="shared" si="12"/>
        <v>Support ServicesTutorials</v>
      </c>
    </row>
    <row r="129" spans="1:16" s="265" customFormat="1" ht="15" customHeight="1" x14ac:dyDescent="0.2">
      <c r="A129" s="1016" t="s">
        <v>1135</v>
      </c>
      <c r="B129" s="1017"/>
      <c r="C129" s="1017"/>
      <c r="D129" s="1018"/>
      <c r="E129" s="267" t="s">
        <v>51</v>
      </c>
      <c r="F129" s="267" t="s">
        <v>129</v>
      </c>
      <c r="G129" s="266">
        <v>5000</v>
      </c>
      <c r="H129" s="1016" t="s">
        <v>1134</v>
      </c>
      <c r="I129" s="1017"/>
      <c r="J129" s="1017"/>
      <c r="K129" s="1018"/>
      <c r="L129" s="265">
        <f t="shared" si="10"/>
        <v>3</v>
      </c>
      <c r="M129" s="265" t="str">
        <f t="shared" si="11"/>
        <v>Yes</v>
      </c>
      <c r="N129" s="265" t="str">
        <f t="shared" si="12"/>
        <v>Support ServicesTutorials</v>
      </c>
    </row>
    <row r="130" spans="1:16" s="265" customFormat="1" ht="15" customHeight="1" x14ac:dyDescent="0.2">
      <c r="A130" s="1016" t="s">
        <v>1136</v>
      </c>
      <c r="B130" s="1017"/>
      <c r="C130" s="1017"/>
      <c r="D130" s="1018"/>
      <c r="E130" s="267" t="s">
        <v>51</v>
      </c>
      <c r="F130" s="267" t="s">
        <v>129</v>
      </c>
      <c r="G130" s="266">
        <v>5000</v>
      </c>
      <c r="H130" s="1016" t="s">
        <v>1134</v>
      </c>
      <c r="I130" s="1017"/>
      <c r="J130" s="1017"/>
      <c r="K130" s="1018"/>
      <c r="L130" s="265">
        <f t="shared" si="10"/>
        <v>3</v>
      </c>
      <c r="M130" s="265" t="str">
        <f t="shared" si="11"/>
        <v>Yes</v>
      </c>
      <c r="N130" s="265" t="str">
        <f t="shared" si="12"/>
        <v>Support ServicesTutorials</v>
      </c>
    </row>
    <row r="131" spans="1:16" s="265" customFormat="1" ht="15" customHeight="1" x14ac:dyDescent="0.2">
      <c r="A131" s="1016" t="s">
        <v>1137</v>
      </c>
      <c r="B131" s="1017"/>
      <c r="C131" s="1017"/>
      <c r="D131" s="1018"/>
      <c r="E131" s="267" t="s">
        <v>51</v>
      </c>
      <c r="F131" s="267" t="s">
        <v>129</v>
      </c>
      <c r="G131" s="266">
        <v>5000</v>
      </c>
      <c r="H131" s="1016" t="s">
        <v>1134</v>
      </c>
      <c r="I131" s="1017"/>
      <c r="J131" s="1017"/>
      <c r="K131" s="1018"/>
      <c r="L131" s="265">
        <f t="shared" si="10"/>
        <v>3</v>
      </c>
      <c r="M131" s="265" t="str">
        <f t="shared" si="11"/>
        <v>Yes</v>
      </c>
      <c r="N131" s="265" t="str">
        <f t="shared" si="12"/>
        <v>Support ServicesTutorials</v>
      </c>
    </row>
    <row r="132" spans="1:16" s="265" customFormat="1" ht="15" customHeight="1" x14ac:dyDescent="0.2">
      <c r="A132" s="1016"/>
      <c r="B132" s="1017"/>
      <c r="C132" s="1017"/>
      <c r="D132" s="1018"/>
      <c r="E132" s="267"/>
      <c r="F132" s="267"/>
      <c r="G132" s="266"/>
      <c r="H132" s="1016"/>
      <c r="I132" s="1017"/>
      <c r="J132" s="1017"/>
      <c r="K132" s="1018"/>
      <c r="L132" s="265">
        <f t="shared" si="10"/>
        <v>7</v>
      </c>
      <c r="M132" s="265" t="str">
        <f t="shared" si="11"/>
        <v>Yes</v>
      </c>
      <c r="N132" s="265" t="str">
        <f t="shared" si="12"/>
        <v/>
      </c>
    </row>
    <row r="133" spans="1:16" ht="15" customHeight="1" x14ac:dyDescent="0.2">
      <c r="A133" s="985"/>
      <c r="B133" s="986"/>
      <c r="C133" s="986"/>
      <c r="D133" s="987"/>
      <c r="E133" s="260"/>
      <c r="F133" s="260"/>
      <c r="G133" s="259"/>
      <c r="H133" s="985"/>
      <c r="I133" s="986"/>
      <c r="J133" s="986"/>
      <c r="K133" s="987"/>
      <c r="L133" s="2">
        <f t="shared" si="10"/>
        <v>7</v>
      </c>
      <c r="M133" s="2" t="str">
        <f t="shared" si="11"/>
        <v>Yes</v>
      </c>
      <c r="N133" s="2" t="str">
        <f t="shared" si="12"/>
        <v/>
      </c>
    </row>
    <row r="134" spans="1:16" ht="15" customHeight="1" x14ac:dyDescent="0.2">
      <c r="A134" s="985"/>
      <c r="B134" s="986"/>
      <c r="C134" s="986"/>
      <c r="D134" s="987"/>
      <c r="E134" s="260"/>
      <c r="F134" s="260"/>
      <c r="G134" s="259"/>
      <c r="H134" s="985"/>
      <c r="I134" s="986"/>
      <c r="J134" s="986"/>
      <c r="K134" s="987"/>
      <c r="L134" s="2">
        <f t="shared" si="10"/>
        <v>7</v>
      </c>
      <c r="M134" s="2" t="str">
        <f t="shared" si="11"/>
        <v>Yes</v>
      </c>
      <c r="N134" s="2" t="str">
        <f t="shared" si="12"/>
        <v/>
      </c>
    </row>
    <row r="135" spans="1:16" ht="15" customHeight="1" x14ac:dyDescent="0.2">
      <c r="A135" s="988" t="s">
        <v>98</v>
      </c>
      <c r="B135" s="989"/>
      <c r="C135" s="989"/>
      <c r="D135" s="989"/>
      <c r="E135" s="989"/>
      <c r="F135" s="990"/>
      <c r="G135" s="991">
        <f>SUM(G118:G134)</f>
        <v>147250</v>
      </c>
      <c r="H135" s="992"/>
      <c r="I135" s="992"/>
      <c r="J135" s="992"/>
      <c r="K135" s="993"/>
      <c r="M135" s="2">
        <f>COUNTIF(M118:M134,"Yes")</f>
        <v>17</v>
      </c>
    </row>
    <row r="136" spans="1:16" ht="15" customHeight="1" x14ac:dyDescent="0.2">
      <c r="A136" s="1013"/>
      <c r="B136" s="1014"/>
      <c r="C136" s="1014"/>
      <c r="D136" s="1014"/>
      <c r="E136" s="1014"/>
      <c r="F136" s="1014"/>
      <c r="G136" s="1014"/>
      <c r="H136" s="1014"/>
      <c r="I136" s="1014"/>
      <c r="J136" s="1014"/>
      <c r="K136" s="1015"/>
    </row>
    <row r="137" spans="1:16" ht="34.5" customHeight="1" x14ac:dyDescent="0.2">
      <c r="A137" s="997" t="s">
        <v>477</v>
      </c>
      <c r="B137" s="998"/>
      <c r="C137" s="998"/>
      <c r="D137" s="998"/>
      <c r="E137" s="998"/>
      <c r="F137" s="998"/>
      <c r="G137" s="998"/>
      <c r="H137" s="998"/>
      <c r="I137" s="998"/>
      <c r="J137" s="998"/>
      <c r="K137" s="999"/>
      <c r="P137" s="230">
        <f>SUM(G135+G73+K38)</f>
        <v>346017.87</v>
      </c>
    </row>
    <row r="138" spans="1:16" ht="18" customHeight="1" x14ac:dyDescent="0.2">
      <c r="A138" s="997" t="s">
        <v>480</v>
      </c>
      <c r="B138" s="998"/>
      <c r="C138" s="998"/>
      <c r="D138" s="998"/>
      <c r="E138" s="998"/>
      <c r="F138" s="998"/>
      <c r="G138" s="998"/>
      <c r="H138" s="998"/>
      <c r="I138" s="998"/>
      <c r="J138" s="998"/>
      <c r="K138" s="999"/>
    </row>
    <row r="139" spans="1:16" ht="15" customHeight="1" x14ac:dyDescent="0.2">
      <c r="A139" s="1000" t="s">
        <v>49</v>
      </c>
      <c r="B139" s="1001"/>
      <c r="C139" s="1001"/>
      <c r="D139" s="1002"/>
      <c r="E139" s="1009" t="s">
        <v>140</v>
      </c>
      <c r="F139" s="1009" t="s">
        <v>139</v>
      </c>
      <c r="G139" s="1012" t="s">
        <v>104</v>
      </c>
      <c r="H139" s="1000" t="s">
        <v>53</v>
      </c>
      <c r="I139" s="1001"/>
      <c r="J139" s="1001"/>
      <c r="K139" s="1002"/>
    </row>
    <row r="140" spans="1:16" ht="15" customHeight="1" x14ac:dyDescent="0.2">
      <c r="A140" s="1003"/>
      <c r="B140" s="1004"/>
      <c r="C140" s="1004"/>
      <c r="D140" s="1005"/>
      <c r="E140" s="1010"/>
      <c r="F140" s="1010"/>
      <c r="G140" s="1010"/>
      <c r="H140" s="1003"/>
      <c r="I140" s="1004"/>
      <c r="J140" s="1004"/>
      <c r="K140" s="1005"/>
    </row>
    <row r="141" spans="1:16" ht="15" customHeight="1" x14ac:dyDescent="0.2">
      <c r="A141" s="1003"/>
      <c r="B141" s="1004"/>
      <c r="C141" s="1004"/>
      <c r="D141" s="1005"/>
      <c r="E141" s="1010"/>
      <c r="F141" s="1010"/>
      <c r="G141" s="1010"/>
      <c r="H141" s="1003"/>
      <c r="I141" s="1004"/>
      <c r="J141" s="1004"/>
      <c r="K141" s="1005"/>
    </row>
    <row r="142" spans="1:16" ht="15" customHeight="1" x14ac:dyDescent="0.2">
      <c r="A142" s="1003"/>
      <c r="B142" s="1004"/>
      <c r="C142" s="1004"/>
      <c r="D142" s="1005"/>
      <c r="E142" s="1010"/>
      <c r="F142" s="1010"/>
      <c r="G142" s="1010"/>
      <c r="H142" s="1003"/>
      <c r="I142" s="1004"/>
      <c r="J142" s="1004"/>
      <c r="K142" s="1005"/>
    </row>
    <row r="143" spans="1:16" ht="15" customHeight="1" x14ac:dyDescent="0.2">
      <c r="A143" s="1003"/>
      <c r="B143" s="1004"/>
      <c r="C143" s="1004"/>
      <c r="D143" s="1005"/>
      <c r="E143" s="1010"/>
      <c r="F143" s="1010"/>
      <c r="G143" s="1010"/>
      <c r="H143" s="1003"/>
      <c r="I143" s="1004"/>
      <c r="J143" s="1004"/>
      <c r="K143" s="1005"/>
    </row>
    <row r="144" spans="1:16" ht="14.25" customHeight="1" x14ac:dyDescent="0.2">
      <c r="A144" s="1006"/>
      <c r="B144" s="1007"/>
      <c r="C144" s="1007"/>
      <c r="D144" s="1008"/>
      <c r="E144" s="1011"/>
      <c r="F144" s="1011"/>
      <c r="G144" s="1011"/>
      <c r="H144" s="1006"/>
      <c r="I144" s="1007"/>
      <c r="J144" s="1007"/>
      <c r="K144" s="1008"/>
    </row>
    <row r="145" spans="1:14" ht="15" customHeight="1" x14ac:dyDescent="0.2">
      <c r="A145" s="985"/>
      <c r="B145" s="986"/>
      <c r="C145" s="986"/>
      <c r="D145" s="987"/>
      <c r="E145" s="260"/>
      <c r="F145" s="260"/>
      <c r="G145" s="259"/>
      <c r="H145" s="985"/>
      <c r="I145" s="986"/>
      <c r="J145" s="986"/>
      <c r="K145" s="987"/>
      <c r="L145" s="2">
        <f t="shared" ref="L145:L169" si="13">COUNTBLANK(E145:K145)</f>
        <v>7</v>
      </c>
      <c r="M145" s="2" t="str">
        <f t="shared" ref="M145:M169" si="14">IF(AND(A145&lt;&gt;"",L145&gt;3),"No","Yes")</f>
        <v>Yes</v>
      </c>
      <c r="N145" s="2" t="str">
        <f t="shared" ref="N145:N169" si="15">CONCATENATE(E145,F145)</f>
        <v/>
      </c>
    </row>
    <row r="146" spans="1:14" ht="15" customHeight="1" x14ac:dyDescent="0.2">
      <c r="A146" s="985"/>
      <c r="B146" s="986"/>
      <c r="C146" s="986"/>
      <c r="D146" s="987"/>
      <c r="E146" s="260"/>
      <c r="F146" s="260"/>
      <c r="G146" s="259"/>
      <c r="H146" s="985"/>
      <c r="I146" s="986"/>
      <c r="J146" s="986"/>
      <c r="K146" s="987"/>
      <c r="L146" s="2">
        <f t="shared" si="13"/>
        <v>7</v>
      </c>
      <c r="M146" s="2" t="str">
        <f t="shared" si="14"/>
        <v>Yes</v>
      </c>
      <c r="N146" s="2" t="str">
        <f t="shared" si="15"/>
        <v/>
      </c>
    </row>
    <row r="147" spans="1:14" ht="15" customHeight="1" x14ac:dyDescent="0.2">
      <c r="A147" s="985"/>
      <c r="B147" s="986"/>
      <c r="C147" s="986"/>
      <c r="D147" s="987"/>
      <c r="E147" s="260"/>
      <c r="F147" s="260"/>
      <c r="G147" s="259"/>
      <c r="H147" s="985"/>
      <c r="I147" s="986"/>
      <c r="J147" s="986"/>
      <c r="K147" s="987"/>
      <c r="L147" s="2">
        <f t="shared" si="13"/>
        <v>7</v>
      </c>
      <c r="M147" s="2" t="str">
        <f t="shared" si="14"/>
        <v>Yes</v>
      </c>
      <c r="N147" s="2" t="str">
        <f t="shared" si="15"/>
        <v/>
      </c>
    </row>
    <row r="148" spans="1:14" ht="15" customHeight="1" x14ac:dyDescent="0.2">
      <c r="A148" s="985"/>
      <c r="B148" s="986"/>
      <c r="C148" s="986"/>
      <c r="D148" s="987"/>
      <c r="E148" s="260"/>
      <c r="F148" s="260"/>
      <c r="G148" s="259"/>
      <c r="H148" s="985"/>
      <c r="I148" s="986"/>
      <c r="J148" s="986"/>
      <c r="K148" s="987"/>
      <c r="L148" s="2">
        <f t="shared" si="13"/>
        <v>7</v>
      </c>
      <c r="M148" s="2" t="str">
        <f t="shared" si="14"/>
        <v>Yes</v>
      </c>
      <c r="N148" s="2" t="str">
        <f t="shared" si="15"/>
        <v/>
      </c>
    </row>
    <row r="149" spans="1:14" ht="15" customHeight="1" x14ac:dyDescent="0.2">
      <c r="A149" s="985"/>
      <c r="B149" s="986"/>
      <c r="C149" s="986"/>
      <c r="D149" s="987"/>
      <c r="E149" s="260"/>
      <c r="F149" s="260"/>
      <c r="G149" s="259"/>
      <c r="H149" s="985"/>
      <c r="I149" s="986"/>
      <c r="J149" s="986"/>
      <c r="K149" s="987"/>
      <c r="L149" s="2">
        <f t="shared" si="13"/>
        <v>7</v>
      </c>
      <c r="M149" s="2" t="str">
        <f t="shared" si="14"/>
        <v>Yes</v>
      </c>
      <c r="N149" s="2" t="str">
        <f t="shared" si="15"/>
        <v/>
      </c>
    </row>
    <row r="150" spans="1:14" ht="15" customHeight="1" x14ac:dyDescent="0.2">
      <c r="A150" s="985"/>
      <c r="B150" s="986"/>
      <c r="C150" s="986"/>
      <c r="D150" s="987"/>
      <c r="E150" s="260"/>
      <c r="F150" s="260"/>
      <c r="G150" s="259"/>
      <c r="H150" s="985"/>
      <c r="I150" s="986"/>
      <c r="J150" s="986"/>
      <c r="K150" s="987"/>
      <c r="L150" s="2">
        <f t="shared" si="13"/>
        <v>7</v>
      </c>
      <c r="M150" s="2" t="str">
        <f t="shared" si="14"/>
        <v>Yes</v>
      </c>
      <c r="N150" s="2" t="str">
        <f t="shared" si="15"/>
        <v/>
      </c>
    </row>
    <row r="151" spans="1:14" ht="15" customHeight="1" x14ac:dyDescent="0.2">
      <c r="A151" s="985"/>
      <c r="B151" s="986"/>
      <c r="C151" s="986"/>
      <c r="D151" s="987"/>
      <c r="E151" s="260"/>
      <c r="F151" s="260"/>
      <c r="G151" s="259"/>
      <c r="H151" s="985"/>
      <c r="I151" s="986"/>
      <c r="J151" s="986"/>
      <c r="K151" s="987"/>
      <c r="L151" s="2">
        <f t="shared" si="13"/>
        <v>7</v>
      </c>
      <c r="M151" s="2" t="str">
        <f t="shared" si="14"/>
        <v>Yes</v>
      </c>
      <c r="N151" s="2" t="str">
        <f t="shared" si="15"/>
        <v/>
      </c>
    </row>
    <row r="152" spans="1:14" ht="15" customHeight="1" x14ac:dyDescent="0.2">
      <c r="A152" s="985"/>
      <c r="B152" s="986"/>
      <c r="C152" s="986"/>
      <c r="D152" s="987"/>
      <c r="E152" s="260"/>
      <c r="F152" s="260"/>
      <c r="G152" s="259"/>
      <c r="H152" s="985"/>
      <c r="I152" s="986"/>
      <c r="J152" s="986"/>
      <c r="K152" s="987"/>
      <c r="L152" s="2">
        <f t="shared" si="13"/>
        <v>7</v>
      </c>
      <c r="M152" s="2" t="str">
        <f t="shared" si="14"/>
        <v>Yes</v>
      </c>
      <c r="N152" s="2" t="str">
        <f t="shared" si="15"/>
        <v/>
      </c>
    </row>
    <row r="153" spans="1:14" ht="15" customHeight="1" x14ac:dyDescent="0.2">
      <c r="A153" s="985"/>
      <c r="B153" s="986"/>
      <c r="C153" s="986"/>
      <c r="D153" s="987"/>
      <c r="E153" s="260"/>
      <c r="F153" s="260"/>
      <c r="G153" s="259"/>
      <c r="H153" s="985"/>
      <c r="I153" s="986"/>
      <c r="J153" s="986"/>
      <c r="K153" s="987"/>
      <c r="L153" s="2">
        <f t="shared" si="13"/>
        <v>7</v>
      </c>
      <c r="M153" s="2" t="str">
        <f t="shared" si="14"/>
        <v>Yes</v>
      </c>
      <c r="N153" s="2" t="str">
        <f t="shared" si="15"/>
        <v/>
      </c>
    </row>
    <row r="154" spans="1:14" ht="15" customHeight="1" x14ac:dyDescent="0.2">
      <c r="A154" s="985"/>
      <c r="B154" s="986"/>
      <c r="C154" s="986"/>
      <c r="D154" s="987"/>
      <c r="E154" s="260"/>
      <c r="F154" s="260"/>
      <c r="G154" s="259"/>
      <c r="H154" s="985"/>
      <c r="I154" s="986"/>
      <c r="J154" s="986"/>
      <c r="K154" s="987"/>
      <c r="L154" s="2">
        <f t="shared" si="13"/>
        <v>7</v>
      </c>
      <c r="M154" s="2" t="str">
        <f t="shared" si="14"/>
        <v>Yes</v>
      </c>
      <c r="N154" s="2" t="str">
        <f t="shared" si="15"/>
        <v/>
      </c>
    </row>
    <row r="155" spans="1:14" ht="15" customHeight="1" x14ac:dyDescent="0.2">
      <c r="A155" s="985"/>
      <c r="B155" s="986"/>
      <c r="C155" s="986"/>
      <c r="D155" s="987"/>
      <c r="E155" s="260"/>
      <c r="F155" s="260"/>
      <c r="G155" s="259"/>
      <c r="H155" s="985"/>
      <c r="I155" s="986"/>
      <c r="J155" s="986"/>
      <c r="K155" s="987"/>
      <c r="L155" s="2">
        <f t="shared" si="13"/>
        <v>7</v>
      </c>
      <c r="M155" s="2" t="str">
        <f t="shared" si="14"/>
        <v>Yes</v>
      </c>
      <c r="N155" s="2" t="str">
        <f t="shared" si="15"/>
        <v/>
      </c>
    </row>
    <row r="156" spans="1:14" ht="15" customHeight="1" x14ac:dyDescent="0.2">
      <c r="A156" s="985"/>
      <c r="B156" s="986"/>
      <c r="C156" s="986"/>
      <c r="D156" s="987"/>
      <c r="E156" s="260"/>
      <c r="F156" s="260"/>
      <c r="G156" s="259"/>
      <c r="H156" s="985"/>
      <c r="I156" s="986"/>
      <c r="J156" s="986"/>
      <c r="K156" s="987"/>
      <c r="L156" s="2">
        <f t="shared" si="13"/>
        <v>7</v>
      </c>
      <c r="M156" s="2" t="str">
        <f t="shared" si="14"/>
        <v>Yes</v>
      </c>
      <c r="N156" s="2" t="str">
        <f t="shared" si="15"/>
        <v/>
      </c>
    </row>
    <row r="157" spans="1:14" ht="15" customHeight="1" x14ac:dyDescent="0.2">
      <c r="A157" s="985"/>
      <c r="B157" s="986"/>
      <c r="C157" s="986"/>
      <c r="D157" s="987"/>
      <c r="E157" s="260"/>
      <c r="F157" s="260"/>
      <c r="G157" s="259"/>
      <c r="H157" s="985"/>
      <c r="I157" s="986"/>
      <c r="J157" s="986"/>
      <c r="K157" s="987"/>
      <c r="L157" s="2">
        <f t="shared" si="13"/>
        <v>7</v>
      </c>
      <c r="M157" s="2" t="str">
        <f t="shared" si="14"/>
        <v>Yes</v>
      </c>
      <c r="N157" s="2" t="str">
        <f t="shared" si="15"/>
        <v/>
      </c>
    </row>
    <row r="158" spans="1:14" ht="15" customHeight="1" x14ac:dyDescent="0.2">
      <c r="A158" s="985"/>
      <c r="B158" s="986"/>
      <c r="C158" s="986"/>
      <c r="D158" s="987"/>
      <c r="E158" s="260"/>
      <c r="F158" s="260"/>
      <c r="G158" s="259"/>
      <c r="H158" s="985"/>
      <c r="I158" s="986"/>
      <c r="J158" s="986"/>
      <c r="K158" s="987"/>
      <c r="L158" s="2">
        <f t="shared" si="13"/>
        <v>7</v>
      </c>
      <c r="M158" s="2" t="str">
        <f t="shared" si="14"/>
        <v>Yes</v>
      </c>
      <c r="N158" s="2" t="str">
        <f t="shared" si="15"/>
        <v/>
      </c>
    </row>
    <row r="159" spans="1:14" ht="15" customHeight="1" x14ac:dyDescent="0.2">
      <c r="A159" s="985"/>
      <c r="B159" s="986"/>
      <c r="C159" s="986"/>
      <c r="D159" s="987"/>
      <c r="E159" s="260"/>
      <c r="F159" s="260"/>
      <c r="G159" s="259"/>
      <c r="H159" s="985"/>
      <c r="I159" s="986"/>
      <c r="J159" s="986"/>
      <c r="K159" s="987"/>
      <c r="L159" s="2">
        <f t="shared" si="13"/>
        <v>7</v>
      </c>
      <c r="M159" s="2" t="str">
        <f t="shared" si="14"/>
        <v>Yes</v>
      </c>
      <c r="N159" s="2" t="str">
        <f t="shared" si="15"/>
        <v/>
      </c>
    </row>
    <row r="160" spans="1:14" ht="15" customHeight="1" x14ac:dyDescent="0.2">
      <c r="A160" s="985"/>
      <c r="B160" s="986"/>
      <c r="C160" s="986"/>
      <c r="D160" s="987"/>
      <c r="E160" s="260"/>
      <c r="F160" s="260"/>
      <c r="G160" s="259"/>
      <c r="H160" s="985"/>
      <c r="I160" s="986"/>
      <c r="J160" s="986"/>
      <c r="K160" s="987"/>
      <c r="L160" s="2">
        <f t="shared" si="13"/>
        <v>7</v>
      </c>
      <c r="M160" s="2" t="str">
        <f t="shared" si="14"/>
        <v>Yes</v>
      </c>
      <c r="N160" s="2" t="str">
        <f t="shared" si="15"/>
        <v/>
      </c>
    </row>
    <row r="161" spans="1:14" ht="15" customHeight="1" x14ac:dyDescent="0.2">
      <c r="A161" s="985"/>
      <c r="B161" s="986"/>
      <c r="C161" s="986"/>
      <c r="D161" s="987"/>
      <c r="E161" s="260"/>
      <c r="F161" s="260"/>
      <c r="G161" s="259"/>
      <c r="H161" s="985"/>
      <c r="I161" s="986"/>
      <c r="J161" s="986"/>
      <c r="K161" s="987"/>
      <c r="L161" s="2">
        <f t="shared" si="13"/>
        <v>7</v>
      </c>
      <c r="M161" s="2" t="str">
        <f t="shared" si="14"/>
        <v>Yes</v>
      </c>
      <c r="N161" s="2" t="str">
        <f t="shared" si="15"/>
        <v/>
      </c>
    </row>
    <row r="162" spans="1:14" ht="15" customHeight="1" x14ac:dyDescent="0.2">
      <c r="A162" s="985"/>
      <c r="B162" s="986"/>
      <c r="C162" s="986"/>
      <c r="D162" s="987"/>
      <c r="E162" s="260"/>
      <c r="F162" s="260"/>
      <c r="G162" s="259"/>
      <c r="H162" s="985"/>
      <c r="I162" s="986"/>
      <c r="J162" s="986"/>
      <c r="K162" s="987"/>
      <c r="L162" s="2">
        <f t="shared" si="13"/>
        <v>7</v>
      </c>
      <c r="M162" s="2" t="str">
        <f t="shared" si="14"/>
        <v>Yes</v>
      </c>
      <c r="N162" s="2" t="str">
        <f t="shared" si="15"/>
        <v/>
      </c>
    </row>
    <row r="163" spans="1:14" ht="15" customHeight="1" x14ac:dyDescent="0.2">
      <c r="A163" s="985"/>
      <c r="B163" s="986"/>
      <c r="C163" s="986"/>
      <c r="D163" s="987"/>
      <c r="E163" s="260"/>
      <c r="F163" s="260"/>
      <c r="G163" s="259"/>
      <c r="H163" s="985"/>
      <c r="I163" s="986"/>
      <c r="J163" s="986"/>
      <c r="K163" s="987"/>
      <c r="L163" s="2">
        <f t="shared" si="13"/>
        <v>7</v>
      </c>
      <c r="M163" s="2" t="str">
        <f t="shared" si="14"/>
        <v>Yes</v>
      </c>
      <c r="N163" s="2" t="str">
        <f t="shared" si="15"/>
        <v/>
      </c>
    </row>
    <row r="164" spans="1:14" ht="15" customHeight="1" x14ac:dyDescent="0.2">
      <c r="A164" s="985"/>
      <c r="B164" s="986"/>
      <c r="C164" s="986"/>
      <c r="D164" s="987"/>
      <c r="E164" s="260"/>
      <c r="F164" s="260"/>
      <c r="G164" s="259"/>
      <c r="H164" s="985"/>
      <c r="I164" s="986"/>
      <c r="J164" s="986"/>
      <c r="K164" s="987"/>
      <c r="L164" s="2">
        <f t="shared" si="13"/>
        <v>7</v>
      </c>
      <c r="M164" s="2" t="str">
        <f t="shared" si="14"/>
        <v>Yes</v>
      </c>
      <c r="N164" s="2" t="str">
        <f t="shared" si="15"/>
        <v/>
      </c>
    </row>
    <row r="165" spans="1:14" ht="15" customHeight="1" x14ac:dyDescent="0.2">
      <c r="A165" s="985"/>
      <c r="B165" s="986"/>
      <c r="C165" s="986"/>
      <c r="D165" s="987"/>
      <c r="E165" s="260"/>
      <c r="F165" s="260"/>
      <c r="G165" s="259"/>
      <c r="H165" s="985"/>
      <c r="I165" s="986"/>
      <c r="J165" s="986"/>
      <c r="K165" s="987"/>
      <c r="L165" s="2">
        <f t="shared" si="13"/>
        <v>7</v>
      </c>
      <c r="M165" s="2" t="str">
        <f t="shared" si="14"/>
        <v>Yes</v>
      </c>
      <c r="N165" s="2" t="str">
        <f t="shared" si="15"/>
        <v/>
      </c>
    </row>
    <row r="166" spans="1:14" ht="15" customHeight="1" x14ac:dyDescent="0.2">
      <c r="A166" s="985"/>
      <c r="B166" s="986"/>
      <c r="C166" s="986"/>
      <c r="D166" s="987"/>
      <c r="E166" s="260"/>
      <c r="F166" s="260"/>
      <c r="G166" s="259"/>
      <c r="H166" s="985"/>
      <c r="I166" s="986"/>
      <c r="J166" s="986"/>
      <c r="K166" s="987"/>
      <c r="L166" s="2">
        <f t="shared" si="13"/>
        <v>7</v>
      </c>
      <c r="M166" s="2" t="str">
        <f t="shared" si="14"/>
        <v>Yes</v>
      </c>
      <c r="N166" s="2" t="str">
        <f t="shared" si="15"/>
        <v/>
      </c>
    </row>
    <row r="167" spans="1:14" ht="15" customHeight="1" x14ac:dyDescent="0.2">
      <c r="A167" s="985"/>
      <c r="B167" s="986"/>
      <c r="C167" s="986"/>
      <c r="D167" s="987"/>
      <c r="E167" s="260"/>
      <c r="F167" s="260"/>
      <c r="G167" s="259"/>
      <c r="H167" s="985"/>
      <c r="I167" s="986"/>
      <c r="J167" s="986"/>
      <c r="K167" s="987"/>
      <c r="L167" s="2">
        <f t="shared" si="13"/>
        <v>7</v>
      </c>
      <c r="M167" s="2" t="str">
        <f t="shared" si="14"/>
        <v>Yes</v>
      </c>
      <c r="N167" s="2" t="str">
        <f t="shared" si="15"/>
        <v/>
      </c>
    </row>
    <row r="168" spans="1:14" ht="15" customHeight="1" x14ac:dyDescent="0.2">
      <c r="A168" s="985"/>
      <c r="B168" s="986"/>
      <c r="C168" s="986"/>
      <c r="D168" s="987"/>
      <c r="E168" s="260"/>
      <c r="F168" s="260"/>
      <c r="G168" s="259"/>
      <c r="H168" s="985"/>
      <c r="I168" s="986"/>
      <c r="J168" s="986"/>
      <c r="K168" s="987"/>
      <c r="L168" s="2">
        <f t="shared" si="13"/>
        <v>7</v>
      </c>
      <c r="M168" s="2" t="str">
        <f t="shared" si="14"/>
        <v>Yes</v>
      </c>
      <c r="N168" s="2" t="str">
        <f t="shared" si="15"/>
        <v/>
      </c>
    </row>
    <row r="169" spans="1:14" ht="15" customHeight="1" x14ac:dyDescent="0.2">
      <c r="A169" s="985"/>
      <c r="B169" s="986"/>
      <c r="C169" s="986"/>
      <c r="D169" s="987"/>
      <c r="E169" s="260"/>
      <c r="F169" s="260"/>
      <c r="G169" s="259"/>
      <c r="H169" s="985"/>
      <c r="I169" s="986"/>
      <c r="J169" s="986"/>
      <c r="K169" s="987"/>
      <c r="L169" s="2">
        <f t="shared" si="13"/>
        <v>7</v>
      </c>
      <c r="M169" s="2" t="str">
        <f t="shared" si="14"/>
        <v>Yes</v>
      </c>
      <c r="N169" s="2" t="str">
        <f t="shared" si="15"/>
        <v/>
      </c>
    </row>
    <row r="170" spans="1:14" ht="15" customHeight="1" x14ac:dyDescent="0.2">
      <c r="A170" s="988" t="s">
        <v>99</v>
      </c>
      <c r="B170" s="989"/>
      <c r="C170" s="989"/>
      <c r="D170" s="989"/>
      <c r="E170" s="989"/>
      <c r="F170" s="990"/>
      <c r="G170" s="991">
        <f>SUM(G145:G169)</f>
        <v>0</v>
      </c>
      <c r="H170" s="992"/>
      <c r="I170" s="992"/>
      <c r="J170" s="992"/>
      <c r="K170" s="993"/>
      <c r="M170" s="2">
        <f>COUNTIF(M145:M169,"Yes")</f>
        <v>25</v>
      </c>
    </row>
    <row r="171" spans="1:14" ht="15" customHeight="1" x14ac:dyDescent="0.2">
      <c r="A171" s="1013"/>
      <c r="B171" s="1014"/>
      <c r="C171" s="1014"/>
      <c r="D171" s="1014"/>
      <c r="E171" s="1014"/>
      <c r="F171" s="1014"/>
      <c r="G171" s="1014"/>
      <c r="H171" s="1014"/>
      <c r="I171" s="1014"/>
      <c r="J171" s="1014"/>
      <c r="K171" s="1015"/>
    </row>
    <row r="172" spans="1:14" ht="18" customHeight="1" x14ac:dyDescent="0.2">
      <c r="A172" s="997" t="s">
        <v>47</v>
      </c>
      <c r="B172" s="998"/>
      <c r="C172" s="998"/>
      <c r="D172" s="998"/>
      <c r="E172" s="998"/>
      <c r="F172" s="998"/>
      <c r="G172" s="998"/>
      <c r="H172" s="998"/>
      <c r="I172" s="998"/>
      <c r="J172" s="998"/>
      <c r="K172" s="999"/>
    </row>
    <row r="173" spans="1:14" ht="18" customHeight="1" x14ac:dyDescent="0.2">
      <c r="A173" s="997" t="s">
        <v>480</v>
      </c>
      <c r="B173" s="998"/>
      <c r="C173" s="998"/>
      <c r="D173" s="998"/>
      <c r="E173" s="998"/>
      <c r="F173" s="998"/>
      <c r="G173" s="998"/>
      <c r="H173" s="998"/>
      <c r="I173" s="998"/>
      <c r="J173" s="998"/>
      <c r="K173" s="999"/>
    </row>
    <row r="174" spans="1:14" ht="15" customHeight="1" x14ac:dyDescent="0.2">
      <c r="A174" s="1000" t="s">
        <v>49</v>
      </c>
      <c r="B174" s="1001"/>
      <c r="C174" s="1001"/>
      <c r="D174" s="1002"/>
      <c r="E174" s="1009" t="s">
        <v>140</v>
      </c>
      <c r="F174" s="1009" t="s">
        <v>139</v>
      </c>
      <c r="G174" s="1012" t="s">
        <v>104</v>
      </c>
      <c r="H174" s="1000" t="s">
        <v>53</v>
      </c>
      <c r="I174" s="1001"/>
      <c r="J174" s="1001"/>
      <c r="K174" s="1002"/>
    </row>
    <row r="175" spans="1:14" ht="15" customHeight="1" x14ac:dyDescent="0.2">
      <c r="A175" s="1003"/>
      <c r="B175" s="1004"/>
      <c r="C175" s="1004"/>
      <c r="D175" s="1005"/>
      <c r="E175" s="1010"/>
      <c r="F175" s="1010"/>
      <c r="G175" s="1010"/>
      <c r="H175" s="1003"/>
      <c r="I175" s="1004"/>
      <c r="J175" s="1004"/>
      <c r="K175" s="1005"/>
    </row>
    <row r="176" spans="1:14" ht="15" customHeight="1" x14ac:dyDescent="0.2">
      <c r="A176" s="1003"/>
      <c r="B176" s="1004"/>
      <c r="C176" s="1004"/>
      <c r="D176" s="1005"/>
      <c r="E176" s="1010"/>
      <c r="F176" s="1010"/>
      <c r="G176" s="1010"/>
      <c r="H176" s="1003"/>
      <c r="I176" s="1004"/>
      <c r="J176" s="1004"/>
      <c r="K176" s="1005"/>
    </row>
    <row r="177" spans="1:14" ht="15" customHeight="1" x14ac:dyDescent="0.2">
      <c r="A177" s="1003"/>
      <c r="B177" s="1004"/>
      <c r="C177" s="1004"/>
      <c r="D177" s="1005"/>
      <c r="E177" s="1010"/>
      <c r="F177" s="1010"/>
      <c r="G177" s="1010"/>
      <c r="H177" s="1003"/>
      <c r="I177" s="1004"/>
      <c r="J177" s="1004"/>
      <c r="K177" s="1005"/>
    </row>
    <row r="178" spans="1:14" ht="15" customHeight="1" x14ac:dyDescent="0.2">
      <c r="A178" s="1003"/>
      <c r="B178" s="1004"/>
      <c r="C178" s="1004"/>
      <c r="D178" s="1005"/>
      <c r="E178" s="1010"/>
      <c r="F178" s="1010"/>
      <c r="G178" s="1010"/>
      <c r="H178" s="1003"/>
      <c r="I178" s="1004"/>
      <c r="J178" s="1004"/>
      <c r="K178" s="1005"/>
    </row>
    <row r="179" spans="1:14" ht="14.25" customHeight="1" x14ac:dyDescent="0.2">
      <c r="A179" s="1006"/>
      <c r="B179" s="1007"/>
      <c r="C179" s="1007"/>
      <c r="D179" s="1008"/>
      <c r="E179" s="1011"/>
      <c r="F179" s="1011"/>
      <c r="G179" s="1011"/>
      <c r="H179" s="1006"/>
      <c r="I179" s="1007"/>
      <c r="J179" s="1007"/>
      <c r="K179" s="1008"/>
    </row>
    <row r="180" spans="1:14" ht="15" customHeight="1" x14ac:dyDescent="0.2">
      <c r="A180" s="985" t="s">
        <v>1103</v>
      </c>
      <c r="B180" s="986"/>
      <c r="C180" s="986"/>
      <c r="D180" s="987"/>
      <c r="E180" s="260" t="s">
        <v>51</v>
      </c>
      <c r="F180" s="260" t="s">
        <v>131</v>
      </c>
      <c r="G180" s="259">
        <v>1000</v>
      </c>
      <c r="H180" s="985" t="s">
        <v>1104</v>
      </c>
      <c r="I180" s="986"/>
      <c r="J180" s="986"/>
      <c r="K180" s="987"/>
      <c r="L180" s="2">
        <f>COUNTBLANK(E180:K180)</f>
        <v>3</v>
      </c>
      <c r="M180" s="2" t="str">
        <f>IF(AND(A180&lt;&gt;"",L180&gt;3),"No","Yes")</f>
        <v>Yes</v>
      </c>
      <c r="N180" s="2" t="str">
        <f>CONCATENATE(E180,F180)</f>
        <v>Support ServicesParent/Community</v>
      </c>
    </row>
    <row r="181" spans="1:14" s="262" customFormat="1" ht="15" customHeight="1" x14ac:dyDescent="0.2">
      <c r="A181" s="994" t="s">
        <v>1066</v>
      </c>
      <c r="B181" s="995"/>
      <c r="C181" s="995"/>
      <c r="D181" s="996"/>
      <c r="E181" s="264" t="s">
        <v>51</v>
      </c>
      <c r="F181" s="264" t="s">
        <v>109</v>
      </c>
      <c r="G181" s="263">
        <v>17077.650000000001</v>
      </c>
      <c r="H181" s="994" t="s">
        <v>1105</v>
      </c>
      <c r="I181" s="995"/>
      <c r="J181" s="995"/>
      <c r="K181" s="996"/>
      <c r="L181" s="262">
        <f>COUNTBLANK(E181:K181)</f>
        <v>3</v>
      </c>
      <c r="M181" s="262" t="str">
        <f>IF(AND(A181&lt;&gt;"",L181&gt;3),"No","Yes")</f>
        <v>Yes</v>
      </c>
      <c r="N181" s="262" t="str">
        <f>CONCATENATE(E181,F181)</f>
        <v>Support ServicesProf. Development</v>
      </c>
    </row>
    <row r="182" spans="1:14" ht="15" customHeight="1" x14ac:dyDescent="0.2">
      <c r="G182" s="261"/>
      <c r="L182" s="2">
        <f>COUNTBLANK(E125:K125)</f>
        <v>3</v>
      </c>
      <c r="M182" s="2" t="str">
        <f>IF(AND(A125&lt;&gt;"",L182&gt;3),"No","Yes")</f>
        <v>Yes</v>
      </c>
      <c r="N182" s="2" t="str">
        <f>CONCATENATE(E125,F125)</f>
        <v>Support ServicesParent/Community</v>
      </c>
    </row>
    <row r="183" spans="1:14" ht="15" customHeight="1" x14ac:dyDescent="0.2">
      <c r="A183" s="985"/>
      <c r="B183" s="986"/>
      <c r="C183" s="986"/>
      <c r="D183" s="987"/>
      <c r="E183" s="260"/>
      <c r="F183" s="260"/>
      <c r="G183" s="259"/>
      <c r="H183" s="985"/>
      <c r="I183" s="986"/>
      <c r="J183" s="986"/>
      <c r="K183" s="987"/>
      <c r="L183" s="2">
        <f t="shared" ref="L183:L204" si="16">COUNTBLANK(E183:K183)</f>
        <v>7</v>
      </c>
      <c r="M183" s="2" t="str">
        <f t="shared" ref="M183:M204" si="17">IF(AND(A183&lt;&gt;"",L183&gt;3),"No","Yes")</f>
        <v>Yes</v>
      </c>
      <c r="N183" s="2" t="str">
        <f t="shared" ref="N183:N204" si="18">CONCATENATE(E183,F183)</f>
        <v/>
      </c>
    </row>
    <row r="184" spans="1:14" ht="15" customHeight="1" x14ac:dyDescent="0.2">
      <c r="A184" s="985"/>
      <c r="B184" s="986"/>
      <c r="C184" s="986"/>
      <c r="D184" s="987"/>
      <c r="E184" s="260"/>
      <c r="F184" s="260"/>
      <c r="G184" s="259"/>
      <c r="H184" s="985"/>
      <c r="I184" s="986"/>
      <c r="J184" s="986"/>
      <c r="K184" s="987"/>
      <c r="L184" s="2">
        <f t="shared" si="16"/>
        <v>7</v>
      </c>
      <c r="M184" s="2" t="str">
        <f t="shared" si="17"/>
        <v>Yes</v>
      </c>
      <c r="N184" s="2" t="str">
        <f t="shared" si="18"/>
        <v/>
      </c>
    </row>
    <row r="185" spans="1:14" ht="15" customHeight="1" x14ac:dyDescent="0.2">
      <c r="A185" s="985"/>
      <c r="B185" s="986"/>
      <c r="C185" s="986"/>
      <c r="D185" s="987"/>
      <c r="E185" s="260"/>
      <c r="F185" s="260"/>
      <c r="G185" s="259"/>
      <c r="H185" s="985"/>
      <c r="I185" s="986"/>
      <c r="J185" s="986"/>
      <c r="K185" s="987"/>
      <c r="L185" s="2">
        <f t="shared" si="16"/>
        <v>7</v>
      </c>
      <c r="M185" s="2" t="str">
        <f t="shared" si="17"/>
        <v>Yes</v>
      </c>
      <c r="N185" s="2" t="str">
        <f t="shared" si="18"/>
        <v/>
      </c>
    </row>
    <row r="186" spans="1:14" ht="15" customHeight="1" x14ac:dyDescent="0.2">
      <c r="A186" s="985"/>
      <c r="B186" s="986"/>
      <c r="C186" s="986"/>
      <c r="D186" s="987"/>
      <c r="E186" s="260"/>
      <c r="F186" s="260"/>
      <c r="G186" s="259"/>
      <c r="H186" s="985"/>
      <c r="I186" s="986"/>
      <c r="J186" s="986"/>
      <c r="K186" s="987"/>
      <c r="L186" s="2">
        <f t="shared" si="16"/>
        <v>7</v>
      </c>
      <c r="M186" s="2" t="str">
        <f t="shared" si="17"/>
        <v>Yes</v>
      </c>
      <c r="N186" s="2" t="str">
        <f t="shared" si="18"/>
        <v/>
      </c>
    </row>
    <row r="187" spans="1:14" ht="15" customHeight="1" x14ac:dyDescent="0.2">
      <c r="A187" s="985"/>
      <c r="B187" s="986"/>
      <c r="C187" s="986"/>
      <c r="D187" s="987"/>
      <c r="E187" s="260"/>
      <c r="F187" s="260"/>
      <c r="G187" s="259"/>
      <c r="H187" s="985"/>
      <c r="I187" s="986"/>
      <c r="J187" s="986"/>
      <c r="K187" s="987"/>
      <c r="L187" s="2">
        <f t="shared" si="16"/>
        <v>7</v>
      </c>
      <c r="M187" s="2" t="str">
        <f t="shared" si="17"/>
        <v>Yes</v>
      </c>
      <c r="N187" s="2" t="str">
        <f t="shared" si="18"/>
        <v/>
      </c>
    </row>
    <row r="188" spans="1:14" ht="15" customHeight="1" x14ac:dyDescent="0.2">
      <c r="A188" s="985"/>
      <c r="B188" s="986"/>
      <c r="C188" s="986"/>
      <c r="D188" s="987"/>
      <c r="E188" s="260"/>
      <c r="F188" s="260"/>
      <c r="G188" s="259"/>
      <c r="H188" s="985"/>
      <c r="I188" s="986"/>
      <c r="J188" s="986"/>
      <c r="K188" s="987"/>
      <c r="L188" s="2">
        <f t="shared" si="16"/>
        <v>7</v>
      </c>
      <c r="M188" s="2" t="str">
        <f t="shared" si="17"/>
        <v>Yes</v>
      </c>
      <c r="N188" s="2" t="str">
        <f t="shared" si="18"/>
        <v/>
      </c>
    </row>
    <row r="189" spans="1:14" ht="15" customHeight="1" x14ac:dyDescent="0.2">
      <c r="A189" s="985"/>
      <c r="B189" s="986"/>
      <c r="C189" s="986"/>
      <c r="D189" s="987"/>
      <c r="E189" s="260"/>
      <c r="F189" s="260"/>
      <c r="G189" s="259"/>
      <c r="H189" s="985"/>
      <c r="I189" s="986"/>
      <c r="J189" s="986"/>
      <c r="K189" s="987"/>
      <c r="L189" s="2">
        <f t="shared" si="16"/>
        <v>7</v>
      </c>
      <c r="M189" s="2" t="str">
        <f t="shared" si="17"/>
        <v>Yes</v>
      </c>
      <c r="N189" s="2" t="str">
        <f t="shared" si="18"/>
        <v/>
      </c>
    </row>
    <row r="190" spans="1:14" ht="15" customHeight="1" x14ac:dyDescent="0.2">
      <c r="A190" s="985"/>
      <c r="B190" s="986"/>
      <c r="C190" s="986"/>
      <c r="D190" s="987"/>
      <c r="E190" s="260"/>
      <c r="F190" s="260"/>
      <c r="G190" s="259"/>
      <c r="H190" s="985"/>
      <c r="I190" s="986"/>
      <c r="J190" s="986"/>
      <c r="K190" s="987"/>
      <c r="L190" s="2">
        <f t="shared" si="16"/>
        <v>7</v>
      </c>
      <c r="M190" s="2" t="str">
        <f t="shared" si="17"/>
        <v>Yes</v>
      </c>
      <c r="N190" s="2" t="str">
        <f t="shared" si="18"/>
        <v/>
      </c>
    </row>
    <row r="191" spans="1:14" ht="15" customHeight="1" x14ac:dyDescent="0.2">
      <c r="A191" s="985"/>
      <c r="B191" s="986"/>
      <c r="C191" s="986"/>
      <c r="D191" s="987"/>
      <c r="E191" s="260"/>
      <c r="F191" s="260"/>
      <c r="G191" s="259"/>
      <c r="H191" s="985"/>
      <c r="I191" s="986"/>
      <c r="J191" s="986"/>
      <c r="K191" s="987"/>
      <c r="L191" s="2">
        <f t="shared" si="16"/>
        <v>7</v>
      </c>
      <c r="M191" s="2" t="str">
        <f t="shared" si="17"/>
        <v>Yes</v>
      </c>
      <c r="N191" s="2" t="str">
        <f t="shared" si="18"/>
        <v/>
      </c>
    </row>
    <row r="192" spans="1:14" ht="15" customHeight="1" x14ac:dyDescent="0.2">
      <c r="A192" s="985"/>
      <c r="B192" s="986"/>
      <c r="C192" s="986"/>
      <c r="D192" s="987"/>
      <c r="E192" s="260"/>
      <c r="F192" s="260"/>
      <c r="G192" s="259"/>
      <c r="H192" s="985"/>
      <c r="I192" s="986"/>
      <c r="J192" s="986"/>
      <c r="K192" s="987"/>
      <c r="L192" s="2">
        <f t="shared" si="16"/>
        <v>7</v>
      </c>
      <c r="M192" s="2" t="str">
        <f t="shared" si="17"/>
        <v>Yes</v>
      </c>
      <c r="N192" s="2" t="str">
        <f t="shared" si="18"/>
        <v/>
      </c>
    </row>
    <row r="193" spans="1:16" ht="15" customHeight="1" x14ac:dyDescent="0.2">
      <c r="A193" s="985"/>
      <c r="B193" s="986"/>
      <c r="C193" s="986"/>
      <c r="D193" s="987"/>
      <c r="E193" s="260"/>
      <c r="F193" s="260"/>
      <c r="G193" s="259"/>
      <c r="H193" s="985"/>
      <c r="I193" s="986"/>
      <c r="J193" s="986"/>
      <c r="K193" s="987"/>
      <c r="L193" s="2">
        <f t="shared" si="16"/>
        <v>7</v>
      </c>
      <c r="M193" s="2" t="str">
        <f t="shared" si="17"/>
        <v>Yes</v>
      </c>
      <c r="N193" s="2" t="str">
        <f t="shared" si="18"/>
        <v/>
      </c>
    </row>
    <row r="194" spans="1:16" ht="15" customHeight="1" x14ac:dyDescent="0.2">
      <c r="A194" s="985"/>
      <c r="B194" s="986"/>
      <c r="C194" s="986"/>
      <c r="D194" s="987"/>
      <c r="E194" s="260"/>
      <c r="F194" s="260"/>
      <c r="G194" s="259"/>
      <c r="H194" s="985"/>
      <c r="I194" s="986"/>
      <c r="J194" s="986"/>
      <c r="K194" s="987"/>
      <c r="L194" s="2">
        <f t="shared" si="16"/>
        <v>7</v>
      </c>
      <c r="M194" s="2" t="str">
        <f t="shared" si="17"/>
        <v>Yes</v>
      </c>
      <c r="N194" s="2" t="str">
        <f t="shared" si="18"/>
        <v/>
      </c>
    </row>
    <row r="195" spans="1:16" ht="15" customHeight="1" x14ac:dyDescent="0.2">
      <c r="A195" s="985"/>
      <c r="B195" s="986"/>
      <c r="C195" s="986"/>
      <c r="D195" s="987"/>
      <c r="E195" s="260"/>
      <c r="F195" s="260"/>
      <c r="G195" s="259"/>
      <c r="H195" s="985"/>
      <c r="I195" s="986"/>
      <c r="J195" s="986"/>
      <c r="K195" s="987"/>
      <c r="L195" s="2">
        <f t="shared" si="16"/>
        <v>7</v>
      </c>
      <c r="M195" s="2" t="str">
        <f t="shared" si="17"/>
        <v>Yes</v>
      </c>
      <c r="N195" s="2" t="str">
        <f t="shared" si="18"/>
        <v/>
      </c>
    </row>
    <row r="196" spans="1:16" ht="15" customHeight="1" x14ac:dyDescent="0.2">
      <c r="A196" s="985"/>
      <c r="B196" s="986"/>
      <c r="C196" s="986"/>
      <c r="D196" s="987"/>
      <c r="E196" s="260"/>
      <c r="F196" s="260"/>
      <c r="G196" s="259"/>
      <c r="H196" s="985"/>
      <c r="I196" s="986"/>
      <c r="J196" s="986"/>
      <c r="K196" s="987"/>
      <c r="L196" s="2">
        <f t="shared" si="16"/>
        <v>7</v>
      </c>
      <c r="M196" s="2" t="str">
        <f t="shared" si="17"/>
        <v>Yes</v>
      </c>
      <c r="N196" s="2" t="str">
        <f t="shared" si="18"/>
        <v/>
      </c>
    </row>
    <row r="197" spans="1:16" ht="15" customHeight="1" x14ac:dyDescent="0.2">
      <c r="A197" s="985"/>
      <c r="B197" s="986"/>
      <c r="C197" s="986"/>
      <c r="D197" s="987"/>
      <c r="E197" s="260"/>
      <c r="F197" s="260"/>
      <c r="G197" s="259"/>
      <c r="H197" s="985"/>
      <c r="I197" s="986"/>
      <c r="J197" s="986"/>
      <c r="K197" s="987"/>
      <c r="L197" s="2">
        <f t="shared" si="16"/>
        <v>7</v>
      </c>
      <c r="M197" s="2" t="str">
        <f t="shared" si="17"/>
        <v>Yes</v>
      </c>
      <c r="N197" s="2" t="str">
        <f t="shared" si="18"/>
        <v/>
      </c>
    </row>
    <row r="198" spans="1:16" ht="15" customHeight="1" x14ac:dyDescent="0.2">
      <c r="A198" s="985"/>
      <c r="B198" s="986"/>
      <c r="C198" s="986"/>
      <c r="D198" s="987"/>
      <c r="E198" s="260"/>
      <c r="F198" s="260"/>
      <c r="G198" s="259"/>
      <c r="H198" s="985"/>
      <c r="I198" s="986"/>
      <c r="J198" s="986"/>
      <c r="K198" s="987"/>
      <c r="L198" s="2">
        <f t="shared" si="16"/>
        <v>7</v>
      </c>
      <c r="M198" s="2" t="str">
        <f t="shared" si="17"/>
        <v>Yes</v>
      </c>
      <c r="N198" s="2" t="str">
        <f t="shared" si="18"/>
        <v/>
      </c>
      <c r="P198" s="230"/>
    </row>
    <row r="199" spans="1:16" ht="15" customHeight="1" x14ac:dyDescent="0.2">
      <c r="A199" s="985"/>
      <c r="B199" s="986"/>
      <c r="C199" s="986"/>
      <c r="D199" s="987"/>
      <c r="E199" s="260"/>
      <c r="F199" s="260"/>
      <c r="G199" s="259"/>
      <c r="H199" s="985"/>
      <c r="I199" s="986"/>
      <c r="J199" s="986"/>
      <c r="K199" s="987"/>
      <c r="L199" s="2">
        <f t="shared" si="16"/>
        <v>7</v>
      </c>
      <c r="M199" s="2" t="str">
        <f t="shared" si="17"/>
        <v>Yes</v>
      </c>
      <c r="N199" s="2" t="str">
        <f t="shared" si="18"/>
        <v/>
      </c>
    </row>
    <row r="200" spans="1:16" ht="15" customHeight="1" x14ac:dyDescent="0.2">
      <c r="A200" s="985"/>
      <c r="B200" s="986"/>
      <c r="C200" s="986"/>
      <c r="D200" s="987"/>
      <c r="E200" s="260"/>
      <c r="F200" s="260"/>
      <c r="G200" s="259"/>
      <c r="H200" s="985"/>
      <c r="I200" s="986"/>
      <c r="J200" s="986"/>
      <c r="K200" s="987"/>
      <c r="L200" s="2">
        <f t="shared" si="16"/>
        <v>7</v>
      </c>
      <c r="M200" s="2" t="str">
        <f t="shared" si="17"/>
        <v>Yes</v>
      </c>
      <c r="N200" s="2" t="str">
        <f t="shared" si="18"/>
        <v/>
      </c>
      <c r="P200" s="230"/>
    </row>
    <row r="201" spans="1:16" ht="15" customHeight="1" x14ac:dyDescent="0.2">
      <c r="A201" s="985"/>
      <c r="B201" s="986"/>
      <c r="C201" s="986"/>
      <c r="D201" s="987"/>
      <c r="E201" s="260"/>
      <c r="F201" s="260"/>
      <c r="G201" s="259"/>
      <c r="H201" s="985"/>
      <c r="I201" s="986"/>
      <c r="J201" s="986"/>
      <c r="K201" s="987"/>
      <c r="L201" s="2">
        <f t="shared" si="16"/>
        <v>7</v>
      </c>
      <c r="M201" s="2" t="str">
        <f t="shared" si="17"/>
        <v>Yes</v>
      </c>
      <c r="N201" s="2" t="str">
        <f t="shared" si="18"/>
        <v/>
      </c>
    </row>
    <row r="202" spans="1:16" ht="15" customHeight="1" x14ac:dyDescent="0.2">
      <c r="A202" s="985"/>
      <c r="B202" s="986"/>
      <c r="C202" s="986"/>
      <c r="D202" s="987"/>
      <c r="E202" s="260"/>
      <c r="F202" s="260"/>
      <c r="G202" s="259"/>
      <c r="H202" s="985"/>
      <c r="I202" s="986"/>
      <c r="J202" s="986"/>
      <c r="K202" s="987"/>
      <c r="L202" s="2">
        <f t="shared" si="16"/>
        <v>7</v>
      </c>
      <c r="M202" s="2" t="str">
        <f t="shared" si="17"/>
        <v>Yes</v>
      </c>
      <c r="N202" s="2" t="str">
        <f t="shared" si="18"/>
        <v/>
      </c>
    </row>
    <row r="203" spans="1:16" ht="15" customHeight="1" x14ac:dyDescent="0.2">
      <c r="A203" s="985"/>
      <c r="B203" s="986"/>
      <c r="C203" s="986"/>
      <c r="D203" s="987"/>
      <c r="E203" s="260"/>
      <c r="F203" s="260"/>
      <c r="G203" s="259"/>
      <c r="H203" s="985"/>
      <c r="I203" s="986"/>
      <c r="J203" s="986"/>
      <c r="K203" s="987"/>
      <c r="L203" s="2">
        <f t="shared" si="16"/>
        <v>7</v>
      </c>
      <c r="M203" s="2" t="str">
        <f t="shared" si="17"/>
        <v>Yes</v>
      </c>
      <c r="N203" s="2" t="str">
        <f t="shared" si="18"/>
        <v/>
      </c>
    </row>
    <row r="204" spans="1:16" ht="15" customHeight="1" x14ac:dyDescent="0.2">
      <c r="A204" s="985"/>
      <c r="B204" s="986"/>
      <c r="C204" s="986"/>
      <c r="D204" s="987"/>
      <c r="E204" s="260"/>
      <c r="F204" s="260"/>
      <c r="G204" s="259"/>
      <c r="H204" s="985"/>
      <c r="I204" s="986"/>
      <c r="J204" s="986"/>
      <c r="K204" s="987"/>
      <c r="L204" s="2">
        <f t="shared" si="16"/>
        <v>7</v>
      </c>
      <c r="M204" s="2" t="str">
        <f t="shared" si="17"/>
        <v>Yes</v>
      </c>
      <c r="N204" s="2" t="str">
        <f t="shared" si="18"/>
        <v/>
      </c>
    </row>
    <row r="205" spans="1:16" ht="15" customHeight="1" x14ac:dyDescent="0.2">
      <c r="A205" s="988" t="s">
        <v>100</v>
      </c>
      <c r="B205" s="989"/>
      <c r="C205" s="989"/>
      <c r="D205" s="989"/>
      <c r="E205" s="989"/>
      <c r="F205" s="990"/>
      <c r="G205" s="991">
        <f>SUM(G180:G204)</f>
        <v>18077.650000000001</v>
      </c>
      <c r="H205" s="992"/>
      <c r="I205" s="992"/>
      <c r="J205" s="992"/>
      <c r="K205" s="993"/>
      <c r="M205" s="2">
        <f>COUNTIF(M180:M204,"Yes")</f>
        <v>25</v>
      </c>
    </row>
  </sheetData>
  <sheetProtection formatRows="0"/>
  <mergeCells count="341">
    <mergeCell ref="H49:K49"/>
    <mergeCell ref="A14:B14"/>
    <mergeCell ref="H14:K14"/>
    <mergeCell ref="A18:B18"/>
    <mergeCell ref="H18:K18"/>
    <mergeCell ref="H15:K15"/>
    <mergeCell ref="A15:B15"/>
    <mergeCell ref="A1:K2"/>
    <mergeCell ref="A3:K4"/>
    <mergeCell ref="A5:K6"/>
    <mergeCell ref="A7:B13"/>
    <mergeCell ref="C7:C13"/>
    <mergeCell ref="D7:D13"/>
    <mergeCell ref="E7:E13"/>
    <mergeCell ref="F7:F13"/>
    <mergeCell ref="G7:G13"/>
    <mergeCell ref="H7:K13"/>
    <mergeCell ref="A19:B19"/>
    <mergeCell ref="H19:K19"/>
    <mergeCell ref="A20:B20"/>
    <mergeCell ref="H20:K20"/>
    <mergeCell ref="A21:B21"/>
    <mergeCell ref="H21:K21"/>
    <mergeCell ref="A16:B16"/>
    <mergeCell ref="H16:K16"/>
    <mergeCell ref="A17:B17"/>
    <mergeCell ref="H17:K17"/>
    <mergeCell ref="A25:B25"/>
    <mergeCell ref="H25:K25"/>
    <mergeCell ref="A26:B26"/>
    <mergeCell ref="H26:K26"/>
    <mergeCell ref="A27:B27"/>
    <mergeCell ref="H27:K27"/>
    <mergeCell ref="A22:B22"/>
    <mergeCell ref="H22:K22"/>
    <mergeCell ref="A23:B23"/>
    <mergeCell ref="H23:K23"/>
    <mergeCell ref="A24:B24"/>
    <mergeCell ref="H24:K24"/>
    <mergeCell ref="A50:D50"/>
    <mergeCell ref="H50:K50"/>
    <mergeCell ref="A36:B36"/>
    <mergeCell ref="H36:K36"/>
    <mergeCell ref="E42:E47"/>
    <mergeCell ref="F42:F47"/>
    <mergeCell ref="G42:G47"/>
    <mergeCell ref="H42:K47"/>
    <mergeCell ref="A28:B28"/>
    <mergeCell ref="H28:K28"/>
    <mergeCell ref="A29:B29"/>
    <mergeCell ref="H29:K29"/>
    <mergeCell ref="A30:B30"/>
    <mergeCell ref="H30:K30"/>
    <mergeCell ref="A31:B31"/>
    <mergeCell ref="H31:K31"/>
    <mergeCell ref="A32:B32"/>
    <mergeCell ref="H32:K32"/>
    <mergeCell ref="A33:B33"/>
    <mergeCell ref="H33:K33"/>
    <mergeCell ref="A34:B34"/>
    <mergeCell ref="H34:K34"/>
    <mergeCell ref="A35:B35"/>
    <mergeCell ref="H35:K35"/>
    <mergeCell ref="A37:B37"/>
    <mergeCell ref="H37:K37"/>
    <mergeCell ref="A38:D38"/>
    <mergeCell ref="G38:J38"/>
    <mergeCell ref="A39:K39"/>
    <mergeCell ref="A40:K40"/>
    <mergeCell ref="A41:K41"/>
    <mergeCell ref="A42:D47"/>
    <mergeCell ref="A48:D48"/>
    <mergeCell ref="H48:K48"/>
    <mergeCell ref="A57:D57"/>
    <mergeCell ref="H57:K57"/>
    <mergeCell ref="A51:D51"/>
    <mergeCell ref="H51:K51"/>
    <mergeCell ref="A52:D52"/>
    <mergeCell ref="H52:K52"/>
    <mergeCell ref="A58:D58"/>
    <mergeCell ref="H58:K58"/>
    <mergeCell ref="A59:D59"/>
    <mergeCell ref="H59:K59"/>
    <mergeCell ref="A54:D54"/>
    <mergeCell ref="H54:K54"/>
    <mergeCell ref="A55:D55"/>
    <mergeCell ref="H55:K55"/>
    <mergeCell ref="A56:D56"/>
    <mergeCell ref="H56:K56"/>
    <mergeCell ref="A53:D53"/>
    <mergeCell ref="H53:K53"/>
    <mergeCell ref="A63:D63"/>
    <mergeCell ref="H63:K63"/>
    <mergeCell ref="A64:D64"/>
    <mergeCell ref="H64:K64"/>
    <mergeCell ref="A65:D65"/>
    <mergeCell ref="H65:K65"/>
    <mergeCell ref="A60:D60"/>
    <mergeCell ref="H60:K60"/>
    <mergeCell ref="A61:D61"/>
    <mergeCell ref="H61:K61"/>
    <mergeCell ref="A62:D62"/>
    <mergeCell ref="H62:K62"/>
    <mergeCell ref="A69:D69"/>
    <mergeCell ref="H69:K69"/>
    <mergeCell ref="A70:D70"/>
    <mergeCell ref="H70:K70"/>
    <mergeCell ref="A71:D71"/>
    <mergeCell ref="H71:K71"/>
    <mergeCell ref="A66:D66"/>
    <mergeCell ref="H66:K66"/>
    <mergeCell ref="A67:D67"/>
    <mergeCell ref="H67:K67"/>
    <mergeCell ref="A68:D68"/>
    <mergeCell ref="H68:K68"/>
    <mergeCell ref="A76:K76"/>
    <mergeCell ref="A77:D82"/>
    <mergeCell ref="E77:E82"/>
    <mergeCell ref="F77:F82"/>
    <mergeCell ref="G77:G82"/>
    <mergeCell ref="H77:K82"/>
    <mergeCell ref="A72:D72"/>
    <mergeCell ref="H72:K72"/>
    <mergeCell ref="A73:F73"/>
    <mergeCell ref="G73:K73"/>
    <mergeCell ref="A74:K74"/>
    <mergeCell ref="A75:K75"/>
    <mergeCell ref="A86:D86"/>
    <mergeCell ref="H86:K86"/>
    <mergeCell ref="A87:D87"/>
    <mergeCell ref="H87:K87"/>
    <mergeCell ref="A88:D88"/>
    <mergeCell ref="H88:K88"/>
    <mergeCell ref="A83:D83"/>
    <mergeCell ref="H83:K83"/>
    <mergeCell ref="A84:D84"/>
    <mergeCell ref="H84:K84"/>
    <mergeCell ref="A85:D85"/>
    <mergeCell ref="H85:K85"/>
    <mergeCell ref="A92:D92"/>
    <mergeCell ref="H92:K92"/>
    <mergeCell ref="A93:D93"/>
    <mergeCell ref="H93:K93"/>
    <mergeCell ref="A94:D94"/>
    <mergeCell ref="H94:K94"/>
    <mergeCell ref="A89:D89"/>
    <mergeCell ref="H89:K89"/>
    <mergeCell ref="A90:D90"/>
    <mergeCell ref="H90:K90"/>
    <mergeCell ref="A91:D91"/>
    <mergeCell ref="H91:K91"/>
    <mergeCell ref="A98:D98"/>
    <mergeCell ref="H98:K98"/>
    <mergeCell ref="A99:D99"/>
    <mergeCell ref="H99:K99"/>
    <mergeCell ref="A100:D100"/>
    <mergeCell ref="H100:K100"/>
    <mergeCell ref="A95:D95"/>
    <mergeCell ref="H95:K95"/>
    <mergeCell ref="A96:D96"/>
    <mergeCell ref="H96:K96"/>
    <mergeCell ref="A97:D97"/>
    <mergeCell ref="H97:K97"/>
    <mergeCell ref="A104:D104"/>
    <mergeCell ref="H104:K104"/>
    <mergeCell ref="A105:D105"/>
    <mergeCell ref="H105:K105"/>
    <mergeCell ref="A106:D106"/>
    <mergeCell ref="H106:K106"/>
    <mergeCell ref="A101:D101"/>
    <mergeCell ref="H101:K101"/>
    <mergeCell ref="A102:D102"/>
    <mergeCell ref="H102:K102"/>
    <mergeCell ref="A103:D103"/>
    <mergeCell ref="H103:K103"/>
    <mergeCell ref="A111:K111"/>
    <mergeCell ref="A112:D117"/>
    <mergeCell ref="E112:E117"/>
    <mergeCell ref="F112:F117"/>
    <mergeCell ref="G112:G117"/>
    <mergeCell ref="H112:K117"/>
    <mergeCell ref="A124:D124"/>
    <mergeCell ref="H124:K124"/>
    <mergeCell ref="A107:D107"/>
    <mergeCell ref="H107:K107"/>
    <mergeCell ref="A108:F108"/>
    <mergeCell ref="G108:K108"/>
    <mergeCell ref="A109:K109"/>
    <mergeCell ref="A110:K110"/>
    <mergeCell ref="A118:D118"/>
    <mergeCell ref="H118:K118"/>
    <mergeCell ref="A119:D119"/>
    <mergeCell ref="H119:K119"/>
    <mergeCell ref="A120:D120"/>
    <mergeCell ref="H120:K120"/>
    <mergeCell ref="A123:D123"/>
    <mergeCell ref="H123:K123"/>
    <mergeCell ref="A121:D121"/>
    <mergeCell ref="H121:K121"/>
    <mergeCell ref="A122:D122"/>
    <mergeCell ref="H122:K122"/>
    <mergeCell ref="A129:D129"/>
    <mergeCell ref="H129:K129"/>
    <mergeCell ref="A130:D130"/>
    <mergeCell ref="H130:K130"/>
    <mergeCell ref="A126:D126"/>
    <mergeCell ref="H126:K126"/>
    <mergeCell ref="A127:D127"/>
    <mergeCell ref="H127:K127"/>
    <mergeCell ref="A128:D128"/>
    <mergeCell ref="H128:K128"/>
    <mergeCell ref="A134:D134"/>
    <mergeCell ref="H134:K134"/>
    <mergeCell ref="A135:F135"/>
    <mergeCell ref="G135:K135"/>
    <mergeCell ref="A136:K136"/>
    <mergeCell ref="A137:K137"/>
    <mergeCell ref="A131:D131"/>
    <mergeCell ref="H131:K131"/>
    <mergeCell ref="A132:D132"/>
    <mergeCell ref="H132:K132"/>
    <mergeCell ref="A133:D133"/>
    <mergeCell ref="H133:K133"/>
    <mergeCell ref="A145:D145"/>
    <mergeCell ref="H145:K145"/>
    <mergeCell ref="A146:D146"/>
    <mergeCell ref="H146:K146"/>
    <mergeCell ref="A147:D147"/>
    <mergeCell ref="H147:K147"/>
    <mergeCell ref="A138:K138"/>
    <mergeCell ref="A139:D144"/>
    <mergeCell ref="E139:E144"/>
    <mergeCell ref="F139:F144"/>
    <mergeCell ref="G139:G144"/>
    <mergeCell ref="H139:K144"/>
    <mergeCell ref="A151:D151"/>
    <mergeCell ref="H151:K151"/>
    <mergeCell ref="A152:D152"/>
    <mergeCell ref="H152:K152"/>
    <mergeCell ref="A153:D153"/>
    <mergeCell ref="H153:K153"/>
    <mergeCell ref="A148:D148"/>
    <mergeCell ref="H148:K148"/>
    <mergeCell ref="A149:D149"/>
    <mergeCell ref="H149:K149"/>
    <mergeCell ref="A150:D150"/>
    <mergeCell ref="H150:K150"/>
    <mergeCell ref="A157:D157"/>
    <mergeCell ref="H157:K157"/>
    <mergeCell ref="A158:D158"/>
    <mergeCell ref="H158:K158"/>
    <mergeCell ref="A159:D159"/>
    <mergeCell ref="H159:K159"/>
    <mergeCell ref="A154:D154"/>
    <mergeCell ref="H154:K154"/>
    <mergeCell ref="A155:D155"/>
    <mergeCell ref="H155:K155"/>
    <mergeCell ref="A156:D156"/>
    <mergeCell ref="H156:K156"/>
    <mergeCell ref="A163:D163"/>
    <mergeCell ref="H163:K163"/>
    <mergeCell ref="A164:D164"/>
    <mergeCell ref="H164:K164"/>
    <mergeCell ref="A165:D165"/>
    <mergeCell ref="H165:K165"/>
    <mergeCell ref="A160:D160"/>
    <mergeCell ref="H160:K160"/>
    <mergeCell ref="A161:D161"/>
    <mergeCell ref="H161:K161"/>
    <mergeCell ref="A162:D162"/>
    <mergeCell ref="H162:K162"/>
    <mergeCell ref="A180:D180"/>
    <mergeCell ref="H180:K180"/>
    <mergeCell ref="A181:D181"/>
    <mergeCell ref="H181:K181"/>
    <mergeCell ref="A125:D125"/>
    <mergeCell ref="H125:K125"/>
    <mergeCell ref="A173:K173"/>
    <mergeCell ref="A174:D179"/>
    <mergeCell ref="E174:E179"/>
    <mergeCell ref="F174:F179"/>
    <mergeCell ref="G174:G179"/>
    <mergeCell ref="H174:K179"/>
    <mergeCell ref="A169:D169"/>
    <mergeCell ref="H169:K169"/>
    <mergeCell ref="A170:F170"/>
    <mergeCell ref="G170:K170"/>
    <mergeCell ref="A171:K171"/>
    <mergeCell ref="A172:K172"/>
    <mergeCell ref="A166:D166"/>
    <mergeCell ref="H166:K166"/>
    <mergeCell ref="A167:D167"/>
    <mergeCell ref="H167:K167"/>
    <mergeCell ref="A168:D168"/>
    <mergeCell ref="H168:K168"/>
    <mergeCell ref="A186:D186"/>
    <mergeCell ref="H186:K186"/>
    <mergeCell ref="A187:D187"/>
    <mergeCell ref="H187:K187"/>
    <mergeCell ref="A188:D188"/>
    <mergeCell ref="H188:K188"/>
    <mergeCell ref="A183:D183"/>
    <mergeCell ref="H183:K183"/>
    <mergeCell ref="A184:D184"/>
    <mergeCell ref="H184:K184"/>
    <mergeCell ref="A185:D185"/>
    <mergeCell ref="H185:K185"/>
    <mergeCell ref="A192:D192"/>
    <mergeCell ref="H192:K192"/>
    <mergeCell ref="A193:D193"/>
    <mergeCell ref="H193:K193"/>
    <mergeCell ref="A194:D194"/>
    <mergeCell ref="H194:K194"/>
    <mergeCell ref="A189:D189"/>
    <mergeCell ref="H189:K189"/>
    <mergeCell ref="A190:D190"/>
    <mergeCell ref="H190:K190"/>
    <mergeCell ref="A191:D191"/>
    <mergeCell ref="H191:K191"/>
    <mergeCell ref="A198:D198"/>
    <mergeCell ref="H198:K198"/>
    <mergeCell ref="A199:D199"/>
    <mergeCell ref="H199:K199"/>
    <mergeCell ref="A200:D200"/>
    <mergeCell ref="H200:K200"/>
    <mergeCell ref="A195:D195"/>
    <mergeCell ref="H195:K195"/>
    <mergeCell ref="A196:D196"/>
    <mergeCell ref="H196:K196"/>
    <mergeCell ref="A197:D197"/>
    <mergeCell ref="H197:K197"/>
    <mergeCell ref="A204:D204"/>
    <mergeCell ref="H204:K204"/>
    <mergeCell ref="A205:F205"/>
    <mergeCell ref="G205:K205"/>
    <mergeCell ref="A201:D201"/>
    <mergeCell ref="H201:K201"/>
    <mergeCell ref="A202:D202"/>
    <mergeCell ref="H202:K202"/>
    <mergeCell ref="A203:D203"/>
    <mergeCell ref="H203:K203"/>
  </mergeCells>
  <dataValidations count="6">
    <dataValidation allowBlank="1" showInputMessage="1" showErrorMessage="1" promptTitle="Total Amount" prompt="Input the total amount of these funds being used to fund this individual's salary and benefits." sqref="G14 G19:G37"/>
    <dataValidation type="list" allowBlank="1" showInputMessage="1" showErrorMessage="1" sqref="E145:E169 E48:E72 E83:E107 E118:E134 E180:E181 E183:E204 D14:D37">
      <formula1>program</formula1>
    </dataValidation>
    <dataValidation allowBlank="1" showErrorMessage="1" sqref="G83:G107 G48:G72 G145:G169 G118:G134 G180:G181 G183:G204 G15:G18"/>
    <dataValidation type="list" allowBlank="1" showInputMessage="1" showErrorMessage="1" sqref="F48:F72 F83:F107 F145:F169 F118:F134 F180:F181 F183:F204 E14:E37">
      <formula1>setasides3</formula1>
    </dataValidation>
    <dataValidation type="textLength" operator="lessThan" allowBlank="1" showInputMessage="1" showErrorMessage="1" errorTitle="Too Much Text" error="Provide a brief description using no more than 100 characters here.  A more full description should be included within the summary worksheet (tab 16)." sqref="H14:K37 H181 H145:K169 H83:K107 H180:K180 H118:K134 H183:K204 H48:H72 I48:K48 I50:K72">
      <formula1>101</formula1>
    </dataValidation>
    <dataValidation allowBlank="1" showInputMessage="1" showErrorMessage="1" promptTitle="% of FTE" prompt="Input a percentage or decimal showing the portion of this individual's total salary and benefits to be paid from these funds." sqref="F14:F37"/>
  </dataValidations>
  <pageMargins left="0.75" right="0.75" top="1" bottom="1" header="0.5" footer="0.5"/>
  <pageSetup scale="75" fitToHeight="0" orientation="landscape" r:id="rId1"/>
  <headerFooter alignWithMargins="0">
    <oddHeader>&amp;LFFY 2012 Consolidated Application&amp;C&amp;A&amp;R&amp;P of &amp;N</oddHeader>
  </headerFooter>
  <rowBreaks count="5" manualBreakCount="5">
    <brk id="38" max="16383" man="1"/>
    <brk id="74" max="10" man="1"/>
    <brk id="109" max="10" man="1"/>
    <brk id="136" max="10" man="1"/>
    <brk id="17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62"/>
  <sheetViews>
    <sheetView view="pageLayout" topLeftCell="A9" zoomScaleNormal="95" workbookViewId="0">
      <selection activeCell="B28" sqref="B28:C28"/>
    </sheetView>
  </sheetViews>
  <sheetFormatPr defaultColWidth="9.140625" defaultRowHeight="12.75" x14ac:dyDescent="0.2"/>
  <cols>
    <col min="1" max="10" width="15.7109375" style="2" customWidth="1"/>
    <col min="11" max="51" width="4.7109375" style="2" customWidth="1"/>
    <col min="52" max="16384" width="9.140625" style="2"/>
  </cols>
  <sheetData>
    <row r="1" spans="1:10" ht="60" customHeight="1" thickBot="1" x14ac:dyDescent="0.25">
      <c r="A1" s="344"/>
      <c r="B1" s="344"/>
      <c r="C1" s="344"/>
      <c r="D1" s="344"/>
      <c r="E1" s="344"/>
      <c r="F1" s="344"/>
      <c r="G1" s="344"/>
      <c r="H1" s="344"/>
      <c r="I1" s="344"/>
      <c r="J1" s="344"/>
    </row>
    <row r="2" spans="1:10" ht="15" customHeight="1" thickBot="1" x14ac:dyDescent="0.25">
      <c r="A2" s="371"/>
      <c r="B2" s="371"/>
      <c r="C2" s="371"/>
      <c r="D2" s="371"/>
      <c r="E2" s="371"/>
      <c r="F2" s="371"/>
      <c r="G2" s="371"/>
      <c r="H2" s="371"/>
      <c r="I2" s="371"/>
      <c r="J2" s="371"/>
    </row>
    <row r="3" spans="1:10" ht="9.9499999999999993" customHeight="1" thickTop="1" x14ac:dyDescent="0.2">
      <c r="A3" s="372" t="s">
        <v>8</v>
      </c>
      <c r="B3" s="373"/>
      <c r="C3" s="373"/>
      <c r="D3" s="373"/>
      <c r="E3" s="373"/>
      <c r="F3" s="373"/>
      <c r="G3" s="373"/>
      <c r="H3" s="373"/>
      <c r="I3" s="373"/>
      <c r="J3" s="374"/>
    </row>
    <row r="4" spans="1:10" ht="9.9499999999999993" customHeight="1" thickBot="1" x14ac:dyDescent="0.25">
      <c r="A4" s="375"/>
      <c r="B4" s="376"/>
      <c r="C4" s="376"/>
      <c r="D4" s="376"/>
      <c r="E4" s="376"/>
      <c r="F4" s="376"/>
      <c r="G4" s="376"/>
      <c r="H4" s="376"/>
      <c r="I4" s="376"/>
      <c r="J4" s="377"/>
    </row>
    <row r="5" spans="1:10" ht="15" customHeight="1" thickTop="1" x14ac:dyDescent="0.2">
      <c r="A5" s="378" t="s">
        <v>394</v>
      </c>
      <c r="B5" s="379"/>
      <c r="C5" s="379"/>
      <c r="D5" s="379"/>
      <c r="E5" s="380"/>
      <c r="F5" s="378" t="s">
        <v>9</v>
      </c>
      <c r="G5" s="379"/>
      <c r="H5" s="379"/>
      <c r="I5" s="379"/>
      <c r="J5" s="380"/>
    </row>
    <row r="6" spans="1:10" ht="30" customHeight="1" x14ac:dyDescent="0.2">
      <c r="A6" s="381" t="s">
        <v>410</v>
      </c>
      <c r="B6" s="382"/>
      <c r="C6" s="382"/>
      <c r="D6" s="382"/>
      <c r="E6" s="383"/>
      <c r="F6" s="381"/>
      <c r="G6" s="382"/>
      <c r="H6" s="382"/>
      <c r="I6" s="382"/>
      <c r="J6" s="383"/>
    </row>
    <row r="7" spans="1:10" ht="15" customHeight="1" x14ac:dyDescent="0.2">
      <c r="A7" s="384" t="s">
        <v>10</v>
      </c>
      <c r="B7" s="358"/>
      <c r="C7" s="358"/>
      <c r="D7" s="358"/>
      <c r="E7" s="385"/>
      <c r="F7" s="384" t="s">
        <v>11</v>
      </c>
      <c r="G7" s="358"/>
      <c r="H7" s="358"/>
      <c r="I7" s="358"/>
      <c r="J7" s="385"/>
    </row>
    <row r="8" spans="1:10" ht="30" customHeight="1" x14ac:dyDescent="0.2">
      <c r="A8" s="381" t="s">
        <v>615</v>
      </c>
      <c r="B8" s="382"/>
      <c r="C8" s="382"/>
      <c r="D8" s="382"/>
      <c r="E8" s="383"/>
      <c r="F8" s="386"/>
      <c r="G8" s="382"/>
      <c r="H8" s="382"/>
      <c r="I8" s="382"/>
      <c r="J8" s="383"/>
    </row>
    <row r="9" spans="1:10" ht="15" customHeight="1" x14ac:dyDescent="0.2">
      <c r="A9" s="384" t="s">
        <v>0</v>
      </c>
      <c r="B9" s="358"/>
      <c r="C9" s="358"/>
      <c r="D9" s="358"/>
      <c r="E9" s="385"/>
      <c r="F9" s="384" t="s">
        <v>12</v>
      </c>
      <c r="G9" s="358"/>
      <c r="H9" s="358"/>
      <c r="I9" s="358"/>
      <c r="J9" s="385"/>
    </row>
    <row r="10" spans="1:10" ht="30" customHeight="1" thickBot="1" x14ac:dyDescent="0.25">
      <c r="A10" s="387" t="s">
        <v>616</v>
      </c>
      <c r="B10" s="388"/>
      <c r="C10" s="388"/>
      <c r="D10" s="388"/>
      <c r="E10" s="389"/>
      <c r="F10" s="390"/>
      <c r="G10" s="391"/>
      <c r="H10" s="391"/>
      <c r="I10" s="391"/>
      <c r="J10" s="392"/>
    </row>
    <row r="11" spans="1:10" ht="15" customHeight="1" thickTop="1" x14ac:dyDescent="0.2">
      <c r="A11" s="378" t="s">
        <v>13</v>
      </c>
      <c r="B11" s="379"/>
      <c r="C11" s="379"/>
      <c r="D11" s="379"/>
      <c r="E11" s="380"/>
      <c r="F11" s="393" t="s">
        <v>14</v>
      </c>
      <c r="G11" s="379"/>
      <c r="H11" s="379"/>
      <c r="I11" s="379"/>
      <c r="J11" s="380"/>
    </row>
    <row r="12" spans="1:10" ht="30" customHeight="1" x14ac:dyDescent="0.2">
      <c r="A12" s="381" t="s">
        <v>617</v>
      </c>
      <c r="B12" s="382"/>
      <c r="C12" s="382"/>
      <c r="D12" s="382"/>
      <c r="E12" s="383"/>
      <c r="F12" s="394" t="s">
        <v>621</v>
      </c>
      <c r="G12" s="382"/>
      <c r="H12" s="382"/>
      <c r="I12" s="382"/>
      <c r="J12" s="383"/>
    </row>
    <row r="13" spans="1:10" ht="15" customHeight="1" x14ac:dyDescent="0.2">
      <c r="A13" s="384" t="s">
        <v>15</v>
      </c>
      <c r="B13" s="358"/>
      <c r="C13" s="358"/>
      <c r="D13" s="358"/>
      <c r="E13" s="385"/>
      <c r="F13" s="395" t="s">
        <v>16</v>
      </c>
      <c r="G13" s="358"/>
      <c r="H13" s="358"/>
      <c r="I13" s="358"/>
      <c r="J13" s="385"/>
    </row>
    <row r="14" spans="1:10" ht="30" customHeight="1" x14ac:dyDescent="0.2">
      <c r="A14" s="381" t="s">
        <v>618</v>
      </c>
      <c r="B14" s="382"/>
      <c r="C14" s="382"/>
      <c r="D14" s="382"/>
      <c r="E14" s="383"/>
      <c r="F14" s="394" t="s">
        <v>622</v>
      </c>
      <c r="G14" s="382"/>
      <c r="H14" s="382"/>
      <c r="I14" s="382"/>
      <c r="J14" s="383"/>
    </row>
    <row r="15" spans="1:10" ht="15" customHeight="1" x14ac:dyDescent="0.2">
      <c r="A15" s="384" t="s">
        <v>17</v>
      </c>
      <c r="B15" s="358"/>
      <c r="C15" s="358"/>
      <c r="D15" s="358"/>
      <c r="E15" s="385"/>
      <c r="F15" s="395" t="s">
        <v>18</v>
      </c>
      <c r="G15" s="358"/>
      <c r="H15" s="358"/>
      <c r="I15" s="358"/>
      <c r="J15" s="385"/>
    </row>
    <row r="16" spans="1:10" ht="30" customHeight="1" x14ac:dyDescent="0.2">
      <c r="A16" s="386" t="s">
        <v>619</v>
      </c>
      <c r="B16" s="382"/>
      <c r="C16" s="382"/>
      <c r="D16" s="382"/>
      <c r="E16" s="383"/>
      <c r="F16" s="396" t="s">
        <v>623</v>
      </c>
      <c r="G16" s="382"/>
      <c r="H16" s="382"/>
      <c r="I16" s="382"/>
      <c r="J16" s="383"/>
    </row>
    <row r="17" spans="1:10" ht="15" customHeight="1" x14ac:dyDescent="0.2">
      <c r="A17" s="397" t="s">
        <v>19</v>
      </c>
      <c r="B17" s="398"/>
      <c r="C17" s="398"/>
      <c r="D17" s="398"/>
      <c r="E17" s="399"/>
      <c r="F17" s="400" t="s">
        <v>20</v>
      </c>
      <c r="G17" s="398"/>
      <c r="H17" s="398"/>
      <c r="I17" s="398"/>
      <c r="J17" s="399"/>
    </row>
    <row r="18" spans="1:10" ht="30" customHeight="1" thickBot="1" x14ac:dyDescent="0.25">
      <c r="A18" s="390" t="s">
        <v>620</v>
      </c>
      <c r="B18" s="391"/>
      <c r="C18" s="391"/>
      <c r="D18" s="391"/>
      <c r="E18" s="392"/>
      <c r="F18" s="401" t="s">
        <v>624</v>
      </c>
      <c r="G18" s="391"/>
      <c r="H18" s="391"/>
      <c r="I18" s="391"/>
      <c r="J18" s="392"/>
    </row>
    <row r="19" spans="1:10" ht="9.9499999999999993" customHeight="1" thickTop="1" x14ac:dyDescent="0.2">
      <c r="A19" s="350" t="s">
        <v>31</v>
      </c>
      <c r="B19" s="351"/>
      <c r="C19" s="351"/>
      <c r="D19" s="351"/>
      <c r="E19" s="351"/>
      <c r="F19" s="351"/>
      <c r="G19" s="351"/>
      <c r="H19" s="351"/>
      <c r="I19" s="351"/>
      <c r="J19" s="352"/>
    </row>
    <row r="20" spans="1:10" ht="9.9499999999999993" customHeight="1" x14ac:dyDescent="0.2">
      <c r="A20" s="353"/>
      <c r="B20" s="354"/>
      <c r="C20" s="354"/>
      <c r="D20" s="354"/>
      <c r="E20" s="354"/>
      <c r="F20" s="354"/>
      <c r="G20" s="354"/>
      <c r="H20" s="354"/>
      <c r="I20" s="354"/>
      <c r="J20" s="355"/>
    </row>
    <row r="21" spans="1:10" ht="12.6" customHeight="1" x14ac:dyDescent="0.2">
      <c r="A21" s="402" t="s">
        <v>38</v>
      </c>
      <c r="B21" s="403"/>
      <c r="C21" s="403"/>
      <c r="D21" s="403"/>
      <c r="E21" s="403"/>
      <c r="F21" s="403"/>
      <c r="G21" s="403"/>
      <c r="H21" s="403"/>
      <c r="I21" s="403"/>
      <c r="J21" s="404"/>
    </row>
    <row r="22" spans="1:10" ht="12.6" customHeight="1" x14ac:dyDescent="0.2">
      <c r="A22" s="405"/>
      <c r="B22" s="406"/>
      <c r="C22" s="406"/>
      <c r="D22" s="406"/>
      <c r="E22" s="406"/>
      <c r="F22" s="406"/>
      <c r="G22" s="406"/>
      <c r="H22" s="406"/>
      <c r="I22" s="406"/>
      <c r="J22" s="407"/>
    </row>
    <row r="23" spans="1:10" ht="12.6" customHeight="1" x14ac:dyDescent="0.2">
      <c r="A23" s="405"/>
      <c r="B23" s="406"/>
      <c r="C23" s="406"/>
      <c r="D23" s="406"/>
      <c r="E23" s="406"/>
      <c r="F23" s="406"/>
      <c r="G23" s="406"/>
      <c r="H23" s="406"/>
      <c r="I23" s="406"/>
      <c r="J23" s="407"/>
    </row>
    <row r="24" spans="1:10" ht="12.6" customHeight="1" x14ac:dyDescent="0.2">
      <c r="A24" s="405"/>
      <c r="B24" s="406"/>
      <c r="C24" s="406"/>
      <c r="D24" s="406"/>
      <c r="E24" s="406"/>
      <c r="F24" s="406"/>
      <c r="G24" s="406"/>
      <c r="H24" s="406"/>
      <c r="I24" s="406"/>
      <c r="J24" s="407"/>
    </row>
    <row r="25" spans="1:10" ht="12.6" customHeight="1" x14ac:dyDescent="0.2">
      <c r="A25" s="405"/>
      <c r="B25" s="406"/>
      <c r="C25" s="406"/>
      <c r="D25" s="406"/>
      <c r="E25" s="406"/>
      <c r="F25" s="406"/>
      <c r="G25" s="406"/>
      <c r="H25" s="406"/>
      <c r="I25" s="406"/>
      <c r="J25" s="407"/>
    </row>
    <row r="26" spans="1:10" ht="12.6" customHeight="1" x14ac:dyDescent="0.2">
      <c r="A26" s="408"/>
      <c r="B26" s="409"/>
      <c r="C26" s="409"/>
      <c r="D26" s="409"/>
      <c r="E26" s="409"/>
      <c r="F26" s="409"/>
      <c r="G26" s="409"/>
      <c r="H26" s="409"/>
      <c r="I26" s="409"/>
      <c r="J26" s="410"/>
    </row>
    <row r="27" spans="1:10" ht="15" customHeight="1" x14ac:dyDescent="0.2">
      <c r="A27" s="364"/>
      <c r="B27" s="417" t="s">
        <v>29</v>
      </c>
      <c r="C27" s="418"/>
      <c r="D27" s="415"/>
      <c r="E27" s="362" t="s">
        <v>30</v>
      </c>
      <c r="F27" s="363"/>
      <c r="G27" s="415"/>
      <c r="H27" s="362" t="s">
        <v>39</v>
      </c>
      <c r="I27" s="363"/>
      <c r="J27" s="366"/>
    </row>
    <row r="28" spans="1:10" ht="24.95" customHeight="1" x14ac:dyDescent="0.2">
      <c r="A28" s="365"/>
      <c r="B28" s="368">
        <v>27005610.280000001</v>
      </c>
      <c r="C28" s="369"/>
      <c r="D28" s="416"/>
      <c r="E28" s="370">
        <v>6603991.8799999999</v>
      </c>
      <c r="F28" s="369"/>
      <c r="G28" s="416"/>
      <c r="H28" s="370">
        <v>364095.52</v>
      </c>
      <c r="I28" s="369"/>
      <c r="J28" s="367"/>
    </row>
    <row r="29" spans="1:10" ht="9.9499999999999993" customHeight="1" x14ac:dyDescent="0.2">
      <c r="A29" s="350" t="s">
        <v>33</v>
      </c>
      <c r="B29" s="351"/>
      <c r="C29" s="351"/>
      <c r="D29" s="351"/>
      <c r="E29" s="351"/>
      <c r="F29" s="351"/>
      <c r="G29" s="351"/>
      <c r="H29" s="351"/>
      <c r="I29" s="351"/>
      <c r="J29" s="352"/>
    </row>
    <row r="30" spans="1:10" ht="9.9499999999999993" customHeight="1" x14ac:dyDescent="0.2">
      <c r="A30" s="353"/>
      <c r="B30" s="354"/>
      <c r="C30" s="354"/>
      <c r="D30" s="354"/>
      <c r="E30" s="354"/>
      <c r="F30" s="354"/>
      <c r="G30" s="354"/>
      <c r="H30" s="354"/>
      <c r="I30" s="354"/>
      <c r="J30" s="355"/>
    </row>
    <row r="31" spans="1:10" ht="12.6" customHeight="1" x14ac:dyDescent="0.2">
      <c r="A31" s="402" t="s">
        <v>516</v>
      </c>
      <c r="B31" s="403"/>
      <c r="C31" s="403"/>
      <c r="D31" s="403"/>
      <c r="E31" s="403"/>
      <c r="F31" s="403"/>
      <c r="G31" s="403"/>
      <c r="H31" s="403"/>
      <c r="I31" s="403"/>
      <c r="J31" s="404"/>
    </row>
    <row r="32" spans="1:10" ht="12.6" customHeight="1" x14ac:dyDescent="0.2">
      <c r="A32" s="405"/>
      <c r="B32" s="406"/>
      <c r="C32" s="406"/>
      <c r="D32" s="406"/>
      <c r="E32" s="406"/>
      <c r="F32" s="406"/>
      <c r="G32" s="406"/>
      <c r="H32" s="406"/>
      <c r="I32" s="406"/>
      <c r="J32" s="407"/>
    </row>
    <row r="33" spans="1:10" ht="12.6" customHeight="1" x14ac:dyDescent="0.2">
      <c r="A33" s="405"/>
      <c r="B33" s="406"/>
      <c r="C33" s="406"/>
      <c r="D33" s="406"/>
      <c r="E33" s="406"/>
      <c r="F33" s="406"/>
      <c r="G33" s="406"/>
      <c r="H33" s="406"/>
      <c r="I33" s="406"/>
      <c r="J33" s="407"/>
    </row>
    <row r="34" spans="1:10" ht="12.6" customHeight="1" x14ac:dyDescent="0.2">
      <c r="A34" s="405"/>
      <c r="B34" s="406"/>
      <c r="C34" s="406"/>
      <c r="D34" s="406"/>
      <c r="E34" s="406"/>
      <c r="F34" s="406"/>
      <c r="G34" s="406"/>
      <c r="H34" s="406"/>
      <c r="I34" s="406"/>
      <c r="J34" s="407"/>
    </row>
    <row r="35" spans="1:10" ht="12.6" customHeight="1" x14ac:dyDescent="0.2">
      <c r="A35" s="405"/>
      <c r="B35" s="406"/>
      <c r="C35" s="406"/>
      <c r="D35" s="406"/>
      <c r="E35" s="406"/>
      <c r="F35" s="406"/>
      <c r="G35" s="406"/>
      <c r="H35" s="406"/>
      <c r="I35" s="406"/>
      <c r="J35" s="407"/>
    </row>
    <row r="36" spans="1:10" ht="12.6" customHeight="1" x14ac:dyDescent="0.2">
      <c r="A36" s="408"/>
      <c r="B36" s="409"/>
      <c r="C36" s="409"/>
      <c r="D36" s="409"/>
      <c r="E36" s="409"/>
      <c r="F36" s="409"/>
      <c r="G36" s="409"/>
      <c r="H36" s="409"/>
      <c r="I36" s="409"/>
      <c r="J36" s="410"/>
    </row>
    <row r="37" spans="1:10" ht="15" customHeight="1" x14ac:dyDescent="0.2">
      <c r="A37" s="412"/>
      <c r="B37" s="414" t="s">
        <v>35</v>
      </c>
      <c r="C37" s="414"/>
      <c r="D37" s="356"/>
      <c r="E37" s="358" t="s">
        <v>36</v>
      </c>
      <c r="F37" s="358"/>
      <c r="G37" s="356"/>
      <c r="H37" s="358" t="s">
        <v>37</v>
      </c>
      <c r="I37" s="358"/>
      <c r="J37" s="359"/>
    </row>
    <row r="38" spans="1:10" ht="24.95" customHeight="1" x14ac:dyDescent="0.2">
      <c r="A38" s="413"/>
      <c r="B38" s="361" t="s">
        <v>23</v>
      </c>
      <c r="C38" s="361"/>
      <c r="D38" s="357"/>
      <c r="E38" s="361"/>
      <c r="F38" s="361"/>
      <c r="G38" s="357"/>
      <c r="H38" s="361"/>
      <c r="I38" s="361"/>
      <c r="J38" s="360"/>
    </row>
    <row r="39" spans="1:10" ht="9.9499999999999993" customHeight="1" x14ac:dyDescent="0.2">
      <c r="A39" s="350" t="s">
        <v>32</v>
      </c>
      <c r="B39" s="351"/>
      <c r="C39" s="351"/>
      <c r="D39" s="351"/>
      <c r="E39" s="351"/>
      <c r="F39" s="351"/>
      <c r="G39" s="351"/>
      <c r="H39" s="351"/>
      <c r="I39" s="351"/>
      <c r="J39" s="352"/>
    </row>
    <row r="40" spans="1:10" ht="9.9499999999999993" customHeight="1" x14ac:dyDescent="0.2">
      <c r="A40" s="353"/>
      <c r="B40" s="354"/>
      <c r="C40" s="354"/>
      <c r="D40" s="354"/>
      <c r="E40" s="354"/>
      <c r="F40" s="354"/>
      <c r="G40" s="354"/>
      <c r="H40" s="354"/>
      <c r="I40" s="354"/>
      <c r="J40" s="355"/>
    </row>
    <row r="41" spans="1:10" ht="12.6" customHeight="1" x14ac:dyDescent="0.2">
      <c r="A41" s="402" t="s">
        <v>34</v>
      </c>
      <c r="B41" s="403"/>
      <c r="C41" s="403"/>
      <c r="D41" s="403"/>
      <c r="E41" s="403"/>
      <c r="F41" s="403"/>
      <c r="G41" s="403"/>
      <c r="H41" s="403"/>
      <c r="I41" s="403"/>
      <c r="J41" s="404"/>
    </row>
    <row r="42" spans="1:10" ht="12.6" customHeight="1" x14ac:dyDescent="0.2">
      <c r="A42" s="405"/>
      <c r="B42" s="406"/>
      <c r="C42" s="406"/>
      <c r="D42" s="406"/>
      <c r="E42" s="406"/>
      <c r="F42" s="406"/>
      <c r="G42" s="406"/>
      <c r="H42" s="406"/>
      <c r="I42" s="406"/>
      <c r="J42" s="407"/>
    </row>
    <row r="43" spans="1:10" ht="12.6" customHeight="1" x14ac:dyDescent="0.2">
      <c r="A43" s="405"/>
      <c r="B43" s="406"/>
      <c r="C43" s="406"/>
      <c r="D43" s="406"/>
      <c r="E43" s="406"/>
      <c r="F43" s="406"/>
      <c r="G43" s="406"/>
      <c r="H43" s="406"/>
      <c r="I43" s="406"/>
      <c r="J43" s="407"/>
    </row>
    <row r="44" spans="1:10" ht="12.6" customHeight="1" x14ac:dyDescent="0.2">
      <c r="A44" s="408"/>
      <c r="B44" s="409"/>
      <c r="C44" s="409"/>
      <c r="D44" s="409"/>
      <c r="E44" s="409"/>
      <c r="F44" s="409"/>
      <c r="G44" s="409"/>
      <c r="H44" s="409"/>
      <c r="I44" s="409"/>
      <c r="J44" s="410"/>
    </row>
    <row r="45" spans="1:10" ht="15" customHeight="1" x14ac:dyDescent="0.2">
      <c r="A45" s="397" t="s">
        <v>506</v>
      </c>
      <c r="B45" s="398"/>
      <c r="C45" s="398"/>
      <c r="D45" s="398"/>
      <c r="E45" s="398"/>
      <c r="F45" s="411" t="s">
        <v>508</v>
      </c>
      <c r="G45" s="398"/>
      <c r="H45" s="398"/>
      <c r="I45" s="398"/>
      <c r="J45" s="399"/>
    </row>
    <row r="46" spans="1:10" ht="45" customHeight="1" x14ac:dyDescent="0.2">
      <c r="A46" s="381" t="s">
        <v>625</v>
      </c>
      <c r="B46" s="382"/>
      <c r="C46" s="382"/>
      <c r="D46" s="382"/>
      <c r="E46" s="382"/>
      <c r="F46" s="419"/>
      <c r="G46" s="420"/>
      <c r="H46" s="420"/>
      <c r="I46" s="420"/>
      <c r="J46" s="421"/>
    </row>
    <row r="47" spans="1:10" ht="15" customHeight="1" x14ac:dyDescent="0.2">
      <c r="A47" s="384" t="s">
        <v>507</v>
      </c>
      <c r="B47" s="358"/>
      <c r="C47" s="358"/>
      <c r="D47" s="358"/>
      <c r="E47" s="358"/>
      <c r="F47" s="411" t="s">
        <v>21</v>
      </c>
      <c r="G47" s="398"/>
      <c r="H47" s="398"/>
      <c r="I47" s="398"/>
      <c r="J47" s="399"/>
    </row>
    <row r="48" spans="1:10" ht="45" customHeight="1" thickBot="1" x14ac:dyDescent="0.25">
      <c r="A48" s="390" t="s">
        <v>7</v>
      </c>
      <c r="B48" s="391"/>
      <c r="C48" s="391"/>
      <c r="D48" s="391"/>
      <c r="E48" s="391"/>
      <c r="F48" s="422"/>
      <c r="G48" s="423"/>
      <c r="H48" s="423"/>
      <c r="I48" s="423"/>
      <c r="J48" s="424"/>
    </row>
    <row r="49" spans="1:10" ht="9.9499999999999993" customHeight="1" thickTop="1" x14ac:dyDescent="0.2">
      <c r="A49" s="350"/>
      <c r="B49" s="351"/>
      <c r="C49" s="351"/>
      <c r="D49" s="351"/>
      <c r="E49" s="351"/>
      <c r="F49" s="351"/>
      <c r="G49" s="351"/>
      <c r="H49" s="351"/>
      <c r="I49" s="351"/>
      <c r="J49" s="352"/>
    </row>
    <row r="50" spans="1:10" ht="9.9499999999999993" customHeight="1" thickBot="1" x14ac:dyDescent="0.25">
      <c r="A50" s="353"/>
      <c r="B50" s="354"/>
      <c r="C50" s="354"/>
      <c r="D50" s="354"/>
      <c r="E50" s="354"/>
      <c r="F50" s="354"/>
      <c r="G50" s="354"/>
      <c r="H50" s="354"/>
      <c r="I50" s="354"/>
      <c r="J50" s="355"/>
    </row>
    <row r="51" spans="1:10" ht="9.9499999999999993" customHeight="1" thickTop="1" x14ac:dyDescent="0.2">
      <c r="A51" s="431" t="s">
        <v>142</v>
      </c>
      <c r="B51" s="432"/>
      <c r="C51" s="432"/>
      <c r="D51" s="432"/>
      <c r="E51" s="432"/>
      <c r="F51" s="432"/>
      <c r="G51" s="432"/>
      <c r="H51" s="432"/>
      <c r="I51" s="432"/>
      <c r="J51" s="433"/>
    </row>
    <row r="52" spans="1:10" ht="9.9499999999999993" customHeight="1" x14ac:dyDescent="0.2">
      <c r="A52" s="434"/>
      <c r="B52" s="435"/>
      <c r="C52" s="435"/>
      <c r="D52" s="435"/>
      <c r="E52" s="435"/>
      <c r="F52" s="435"/>
      <c r="G52" s="435"/>
      <c r="H52" s="435"/>
      <c r="I52" s="435"/>
      <c r="J52" s="436"/>
    </row>
    <row r="53" spans="1:10" ht="9.9499999999999993" customHeight="1" thickBot="1" x14ac:dyDescent="0.25">
      <c r="A53" s="437"/>
      <c r="B53" s="438"/>
      <c r="C53" s="438"/>
      <c r="D53" s="438"/>
      <c r="E53" s="438"/>
      <c r="F53" s="438"/>
      <c r="G53" s="438"/>
      <c r="H53" s="438"/>
      <c r="I53" s="438"/>
      <c r="J53" s="439"/>
    </row>
    <row r="54" spans="1:10" ht="15" customHeight="1" thickTop="1" thickBot="1" x14ac:dyDescent="0.25">
      <c r="A54" s="23"/>
      <c r="B54" s="24"/>
      <c r="C54" s="24"/>
      <c r="D54" s="24"/>
      <c r="E54" s="24"/>
      <c r="F54" s="24"/>
      <c r="G54" s="24"/>
      <c r="H54" s="24"/>
      <c r="I54" s="24"/>
      <c r="J54" s="25"/>
    </row>
    <row r="55" spans="1:10" ht="9.9499999999999993" customHeight="1" thickTop="1" x14ac:dyDescent="0.2">
      <c r="A55" s="350" t="s">
        <v>22</v>
      </c>
      <c r="B55" s="351"/>
      <c r="C55" s="351"/>
      <c r="D55" s="351"/>
      <c r="E55" s="351"/>
      <c r="F55" s="351"/>
      <c r="G55" s="351"/>
      <c r="H55" s="351"/>
      <c r="I55" s="351"/>
      <c r="J55" s="352"/>
    </row>
    <row r="56" spans="1:10" ht="9.9499999999999993" customHeight="1" thickBot="1" x14ac:dyDescent="0.25">
      <c r="A56" s="353"/>
      <c r="B56" s="354"/>
      <c r="C56" s="354"/>
      <c r="D56" s="354"/>
      <c r="E56" s="354"/>
      <c r="F56" s="354"/>
      <c r="G56" s="354"/>
      <c r="H56" s="354"/>
      <c r="I56" s="354"/>
      <c r="J56" s="355"/>
    </row>
    <row r="57" spans="1:10" s="26" customFormat="1" ht="13.5" customHeight="1" x14ac:dyDescent="0.2">
      <c r="A57" s="440" t="s">
        <v>26</v>
      </c>
      <c r="B57" s="441"/>
      <c r="C57" s="441"/>
      <c r="D57" s="441"/>
      <c r="E57" s="441"/>
      <c r="F57" s="442"/>
      <c r="G57" s="442"/>
      <c r="H57" s="442"/>
      <c r="I57" s="442"/>
      <c r="J57" s="443"/>
    </row>
    <row r="58" spans="1:10" s="26" customFormat="1" ht="13.5" customHeight="1" thickBot="1" x14ac:dyDescent="0.25">
      <c r="A58" s="425" t="s">
        <v>27</v>
      </c>
      <c r="B58" s="426"/>
      <c r="C58" s="426"/>
      <c r="D58" s="426"/>
      <c r="E58" s="426"/>
      <c r="F58" s="427"/>
      <c r="G58" s="427"/>
      <c r="H58" s="427"/>
      <c r="I58" s="427"/>
      <c r="J58" s="428"/>
    </row>
    <row r="59" spans="1:10" ht="9.9499999999999993" customHeight="1" thickTop="1" x14ac:dyDescent="0.2">
      <c r="A59" s="122"/>
      <c r="B59" s="122"/>
      <c r="C59" s="122"/>
      <c r="D59" s="122"/>
      <c r="E59" s="122"/>
      <c r="F59" s="122"/>
      <c r="G59" s="122"/>
      <c r="H59" s="122"/>
      <c r="I59" s="122"/>
      <c r="J59" s="122"/>
    </row>
    <row r="60" spans="1:10" ht="50.1" customHeight="1" x14ac:dyDescent="0.25">
      <c r="A60" s="429" t="s">
        <v>28</v>
      </c>
      <c r="B60" s="430"/>
      <c r="C60" s="430"/>
      <c r="D60" s="430"/>
      <c r="E60" s="430"/>
      <c r="F60" s="430"/>
      <c r="G60" s="430"/>
      <c r="H60" s="430"/>
      <c r="I60" s="430"/>
      <c r="J60" s="430"/>
    </row>
    <row r="61" spans="1:10" hidden="1" x14ac:dyDescent="0.2"/>
    <row r="62" spans="1:10" hidden="1" x14ac:dyDescent="0.2">
      <c r="A62" s="2" t="s">
        <v>23</v>
      </c>
    </row>
  </sheetData>
  <mergeCells count="73">
    <mergeCell ref="A58:E58"/>
    <mergeCell ref="F58:J58"/>
    <mergeCell ref="A60:J60"/>
    <mergeCell ref="A49:J50"/>
    <mergeCell ref="A51:J53"/>
    <mergeCell ref="A55:J56"/>
    <mergeCell ref="A57:E57"/>
    <mergeCell ref="F57:J57"/>
    <mergeCell ref="A46:E46"/>
    <mergeCell ref="F46:J46"/>
    <mergeCell ref="A47:E47"/>
    <mergeCell ref="F47:J47"/>
    <mergeCell ref="A48:E48"/>
    <mergeCell ref="F48:J48"/>
    <mergeCell ref="A18:E18"/>
    <mergeCell ref="F18:J18"/>
    <mergeCell ref="A39:J40"/>
    <mergeCell ref="A41:J44"/>
    <mergeCell ref="A45:E45"/>
    <mergeCell ref="F45:J45"/>
    <mergeCell ref="A19:J20"/>
    <mergeCell ref="A21:J26"/>
    <mergeCell ref="A37:A38"/>
    <mergeCell ref="B37:C37"/>
    <mergeCell ref="D37:D38"/>
    <mergeCell ref="E37:F37"/>
    <mergeCell ref="D27:D28"/>
    <mergeCell ref="G27:G28"/>
    <mergeCell ref="A31:J36"/>
    <mergeCell ref="B27:C27"/>
    <mergeCell ref="A15:E15"/>
    <mergeCell ref="F15:J15"/>
    <mergeCell ref="A16:E16"/>
    <mergeCell ref="F16:J16"/>
    <mergeCell ref="A17:E17"/>
    <mergeCell ref="F17:J17"/>
    <mergeCell ref="A12:E12"/>
    <mergeCell ref="F12:J12"/>
    <mergeCell ref="A13:E13"/>
    <mergeCell ref="F13:J13"/>
    <mergeCell ref="A14:E14"/>
    <mergeCell ref="F14:J14"/>
    <mergeCell ref="A9:E9"/>
    <mergeCell ref="F9:J9"/>
    <mergeCell ref="A10:E10"/>
    <mergeCell ref="F10:J10"/>
    <mergeCell ref="A11:E11"/>
    <mergeCell ref="F11:J11"/>
    <mergeCell ref="A6:E6"/>
    <mergeCell ref="F6:J6"/>
    <mergeCell ref="A7:E7"/>
    <mergeCell ref="F7:J7"/>
    <mergeCell ref="A8:E8"/>
    <mergeCell ref="F8:J8"/>
    <mergeCell ref="A1:J1"/>
    <mergeCell ref="A2:J2"/>
    <mergeCell ref="A3:J4"/>
    <mergeCell ref="A5:E5"/>
    <mergeCell ref="F5:J5"/>
    <mergeCell ref="E27:F27"/>
    <mergeCell ref="H27:I27"/>
    <mergeCell ref="A27:A28"/>
    <mergeCell ref="J27:J28"/>
    <mergeCell ref="B28:C28"/>
    <mergeCell ref="E28:F28"/>
    <mergeCell ref="H28:I28"/>
    <mergeCell ref="A29:J30"/>
    <mergeCell ref="G37:G38"/>
    <mergeCell ref="H37:I37"/>
    <mergeCell ref="J37:J38"/>
    <mergeCell ref="B38:C38"/>
    <mergeCell ref="E38:F38"/>
    <mergeCell ref="H38:I38"/>
  </mergeCells>
  <dataValidations count="8">
    <dataValidation type="list" allowBlank="1" showInputMessage="1" showErrorMessage="1" promptTitle="Title" prompt="Select the title of the person who certifies the Phase II application on behalf of the LEA.  This must be the Chairperson of the Board of Directors for public charter school LEAs and the Chancellor for the District of Columbia Public Schools." sqref="A48:E48">
      <formula1>signature</formula1>
    </dataValidation>
    <dataValidation allowBlank="1" showInputMessage="1" showErrorMessage="1" promptTitle="Name" prompt="Input the name of the person who certifies the Phase II application on behalf of the LEA.  This must be the Chairperson of the Board of Directors for public charter school LEAs and the Chancellor for the District of Columbia Public Schools." sqref="A46:E46"/>
    <dataValidation type="decimal" operator="greaterThanOrEqual" allowBlank="1" showInputMessage="1" showErrorMessage="1" errorTitle="Title III Consortium" error="The LEA is eligible to apply for Title III, Part A funding only as part of a consortium with other LEAs through a separate application.  Please leave this cell blank and contact your TAL specialist for more information." sqref="H28:I28">
      <formula1>10000</formula1>
    </dataValidation>
    <dataValidation allowBlank="1" showInputMessage="1" showErrorMessage="1" promptTitle="Name" prompt="Input the name of the person who will be the main point of contact within the LEA for Consolidated Application programs." sqref="A12:E12"/>
    <dataValidation allowBlank="1" showInputMessage="1" showErrorMessage="1" promptTitle="Name" prompt="Input the full name of the Executive Director (or equivalent position) of the Local Educational Agency." sqref="F6:J6"/>
    <dataValidation allowBlank="1" showInputMessage="1" showErrorMessage="1" promptTitle="Name" prompt="Input the name of a secondary contact within the LEA for Consolidated Application programs." sqref="F12:J12"/>
    <dataValidation type="list" allowBlank="1" showInputMessage="1" showErrorMessage="1" sqref="B38:C38 E38:F38 H38:I38">
      <formula1>check2</formula1>
    </dataValidation>
    <dataValidation type="list" allowBlank="1" showInputMessage="1" showErrorMessage="1" promptTitle="LEA Name" prompt="Select the name of your LEA from the drop-down menu." sqref="A6:E6">
      <formula1>LEA</formula1>
    </dataValidation>
  </dataValidations>
  <pageMargins left="0.7" right="0.7" top="0.75" bottom="0.75" header="0.3" footer="0.3"/>
  <pageSetup scale="64" orientation="portrait" r:id="rId1"/>
  <headerFooter alignWithMargins="0">
    <oddHeader>&amp;LFFY 2012 Consolidated Application: Phase II Cover Page</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86"/>
  <sheetViews>
    <sheetView topLeftCell="A25" zoomScaleNormal="100" workbookViewId="0">
      <selection activeCell="G82" sqref="G82"/>
    </sheetView>
  </sheetViews>
  <sheetFormatPr defaultColWidth="9.140625" defaultRowHeight="12.75" x14ac:dyDescent="0.2"/>
  <cols>
    <col min="1" max="10" width="15.7109375" style="2" customWidth="1"/>
    <col min="11" max="11" width="15.7109375" style="1" customWidth="1"/>
    <col min="12" max="16384" width="9.140625" style="2"/>
  </cols>
  <sheetData>
    <row r="1" spans="1:11" ht="13.5" customHeight="1" thickTop="1" x14ac:dyDescent="0.2">
      <c r="A1" s="1062" t="s">
        <v>134</v>
      </c>
      <c r="B1" s="1063"/>
      <c r="C1" s="1063"/>
      <c r="D1" s="869" t="s">
        <v>56</v>
      </c>
      <c r="E1" s="870"/>
      <c r="F1" s="870"/>
      <c r="G1" s="870"/>
      <c r="H1" s="870"/>
      <c r="I1" s="870"/>
      <c r="J1" s="870"/>
      <c r="K1" s="839" t="str">
        <f>IF(J85=('1'!H28-'3'!F20),"Your budget is now complete.","The total amount for which you have budgeted does not match the unconsolidated portion of the LEA's Title III, Part A allocation.")</f>
        <v>Your budget is now complete.</v>
      </c>
    </row>
    <row r="2" spans="1:11" ht="12.75" customHeight="1" x14ac:dyDescent="0.2">
      <c r="A2" s="1064"/>
      <c r="B2" s="1065"/>
      <c r="C2" s="1065"/>
      <c r="D2" s="871"/>
      <c r="E2" s="872"/>
      <c r="F2" s="872"/>
      <c r="G2" s="872"/>
      <c r="H2" s="872"/>
      <c r="I2" s="872"/>
      <c r="J2" s="872"/>
      <c r="K2" s="840"/>
    </row>
    <row r="3" spans="1:11" ht="12.75" customHeight="1" x14ac:dyDescent="0.2">
      <c r="A3" s="1064"/>
      <c r="B3" s="1065"/>
      <c r="C3" s="1065"/>
      <c r="D3" s="871"/>
      <c r="E3" s="872"/>
      <c r="F3" s="872"/>
      <c r="G3" s="872"/>
      <c r="H3" s="872"/>
      <c r="I3" s="872"/>
      <c r="J3" s="872"/>
      <c r="K3" s="840"/>
    </row>
    <row r="4" spans="1:11" ht="13.5" customHeight="1" thickBot="1" x14ac:dyDescent="0.25">
      <c r="A4" s="1064"/>
      <c r="B4" s="1065"/>
      <c r="C4" s="1065"/>
      <c r="D4" s="873"/>
      <c r="E4" s="874"/>
      <c r="F4" s="874"/>
      <c r="G4" s="874"/>
      <c r="H4" s="874"/>
      <c r="I4" s="874"/>
      <c r="J4" s="874"/>
      <c r="K4" s="840"/>
    </row>
    <row r="5" spans="1:11" ht="12.75" customHeight="1" x14ac:dyDescent="0.2">
      <c r="A5" s="1064"/>
      <c r="B5" s="1065"/>
      <c r="C5" s="1065"/>
      <c r="D5" s="842" t="s">
        <v>57</v>
      </c>
      <c r="E5" s="842" t="s">
        <v>58</v>
      </c>
      <c r="F5" s="842" t="s">
        <v>136</v>
      </c>
      <c r="G5" s="842" t="s">
        <v>138</v>
      </c>
      <c r="H5" s="842" t="s">
        <v>61</v>
      </c>
      <c r="I5" s="842" t="s">
        <v>115</v>
      </c>
      <c r="J5" s="844" t="s">
        <v>116</v>
      </c>
      <c r="K5" s="840"/>
    </row>
    <row r="6" spans="1:11" ht="12.75" customHeight="1" x14ac:dyDescent="0.2">
      <c r="A6" s="1064"/>
      <c r="B6" s="1065"/>
      <c r="C6" s="1065"/>
      <c r="D6" s="843"/>
      <c r="E6" s="843"/>
      <c r="F6" s="843"/>
      <c r="G6" s="843"/>
      <c r="H6" s="843"/>
      <c r="I6" s="843"/>
      <c r="J6" s="845"/>
      <c r="K6" s="840"/>
    </row>
    <row r="7" spans="1:11" ht="12.75" customHeight="1" x14ac:dyDescent="0.2">
      <c r="A7" s="1064"/>
      <c r="B7" s="1065"/>
      <c r="C7" s="1065"/>
      <c r="D7" s="843"/>
      <c r="E7" s="843"/>
      <c r="F7" s="843"/>
      <c r="G7" s="843"/>
      <c r="H7" s="843"/>
      <c r="I7" s="843"/>
      <c r="J7" s="846"/>
      <c r="K7" s="840"/>
    </row>
    <row r="8" spans="1:11" ht="13.5" customHeight="1" thickBot="1" x14ac:dyDescent="0.25">
      <c r="A8" s="1066"/>
      <c r="B8" s="1065"/>
      <c r="C8" s="1065"/>
      <c r="D8" s="843"/>
      <c r="E8" s="843"/>
      <c r="F8" s="843"/>
      <c r="G8" s="843"/>
      <c r="H8" s="843"/>
      <c r="I8" s="843"/>
      <c r="J8" s="847"/>
      <c r="K8" s="840"/>
    </row>
    <row r="9" spans="1:11" ht="12.75" customHeight="1" x14ac:dyDescent="0.2">
      <c r="A9" s="851" t="s">
        <v>63</v>
      </c>
      <c r="B9" s="854" t="s">
        <v>50</v>
      </c>
      <c r="C9" s="35" t="s">
        <v>127</v>
      </c>
      <c r="D9" s="47">
        <f>SUMIF('17'!$N$14:$N$37,"InstructionEng. Proficiency",'17'!$G$14:$G$37)</f>
        <v>100000</v>
      </c>
      <c r="E9" s="48">
        <f>SUMIF('17'!$N$48:$N$72,"InstructionEng. Proficiency",'17'!$G$48:$G$72)</f>
        <v>0</v>
      </c>
      <c r="F9" s="48">
        <f>SUMIF('17'!$N$83:$N$107,"InstructionEng. Proficiency",'17'!$G$83:$G$107)</f>
        <v>0</v>
      </c>
      <c r="G9" s="48">
        <f>SUMIF('17'!$N$118:$N$134,"InstructionEng. Proficiency",'17'!$G$118:$G$134)</f>
        <v>0</v>
      </c>
      <c r="H9" s="48">
        <f>SUMIF('17'!$N$145:$N$169,"InstructionEng. Proficiency",'17'!$G$145:$G$169)</f>
        <v>0</v>
      </c>
      <c r="I9" s="48">
        <f>SUMIF('17'!$N$180:$N$204,"InstructionEng. Proficiency",'17'!$G$180:$G$204)</f>
        <v>0</v>
      </c>
      <c r="J9" s="169">
        <f t="shared" ref="J9:J74" si="0">SUM(D9:I9)</f>
        <v>100000</v>
      </c>
      <c r="K9" s="840"/>
    </row>
    <row r="10" spans="1:11" ht="12.75" customHeight="1" x14ac:dyDescent="0.2">
      <c r="A10" s="852"/>
      <c r="B10" s="856"/>
      <c r="C10" s="36" t="s">
        <v>109</v>
      </c>
      <c r="D10" s="49">
        <f>SUMIF('17'!$N$14:$N$37,"InstructionProf. Development",'17'!$G$14:$G$37)</f>
        <v>0</v>
      </c>
      <c r="E10" s="50">
        <f>SUMIF('17'!$N$48:$N$72,"InstructionProf. Development",'17'!$G$48:$G$72)</f>
        <v>0</v>
      </c>
      <c r="F10" s="50">
        <f>SUMIF('17'!$N$83:$N$107,"InstructionProf. Development",'17'!$G$83:$G$107)</f>
        <v>0</v>
      </c>
      <c r="G10" s="50">
        <f>SUMIF('17'!$N$118:$N$134,"InstructionProf. Development",'17'!$G$118:$G$134)</f>
        <v>0</v>
      </c>
      <c r="H10" s="50">
        <f>SUMIF('17'!$N$145:$N$169,"InstructionProf. Development",'17'!$G$145:$G$169)</f>
        <v>0</v>
      </c>
      <c r="I10" s="50">
        <f>SUMIF('17'!$N$180:$N$204,"InstructionProf. Development",'17'!$G$180:$G$204)</f>
        <v>0</v>
      </c>
      <c r="J10" s="170">
        <f t="shared" si="0"/>
        <v>0</v>
      </c>
      <c r="K10" s="840"/>
    </row>
    <row r="11" spans="1:11" ht="12.75" customHeight="1" x14ac:dyDescent="0.2">
      <c r="A11" s="852"/>
      <c r="B11" s="856"/>
      <c r="C11" s="36" t="s">
        <v>128</v>
      </c>
      <c r="D11" s="49">
        <f>SUMIF('17'!$N$14:$N$37,"InstructionObjectives/Strategies",'17'!$G$14:$G$37)</f>
        <v>0</v>
      </c>
      <c r="E11" s="50">
        <f>SUMIF('17'!$N$48:$N$72,"InstructionObjectives/Strategies",'17'!$G$48:$G$72)</f>
        <v>0</v>
      </c>
      <c r="F11" s="50">
        <f>SUMIF('17'!$N$83:$N$107,"InstructionObjectives/Strategies",'17'!$G$83:$G$107)</f>
        <v>0</v>
      </c>
      <c r="G11" s="50">
        <f>SUMIF('17'!$N$118:$N$134,"InstructionObjectives/Strategies",'17'!$G$118:$G$134)</f>
        <v>0</v>
      </c>
      <c r="H11" s="50">
        <f>SUMIF('17'!$N$145:$N$169,"InstructionObjectives/Strategies",'17'!$G$145:$G$169)</f>
        <v>0</v>
      </c>
      <c r="I11" s="50">
        <f>SUMIF('17'!$N$180:$N$204,"InstructionObjectives/Strategies",'17'!$G$180:$G$204)</f>
        <v>0</v>
      </c>
      <c r="J11" s="170">
        <f t="shared" si="0"/>
        <v>0</v>
      </c>
      <c r="K11" s="840"/>
    </row>
    <row r="12" spans="1:11" ht="12.75" customHeight="1" x14ac:dyDescent="0.2">
      <c r="A12" s="852"/>
      <c r="B12" s="856"/>
      <c r="C12" s="36" t="s">
        <v>132</v>
      </c>
      <c r="D12" s="49">
        <f>SUMIF('17'!$N$14:$N$37,"InstructionCurricula/Materials",'17'!$G$14:$G$37)</f>
        <v>0</v>
      </c>
      <c r="E12" s="50">
        <f>SUMIF('17'!$N$48:$N$72,"InstructionCurricula/Materials",'17'!$G$48:$G$72)</f>
        <v>0</v>
      </c>
      <c r="F12" s="50">
        <f>SUMIF('17'!$N$83:$N$107,"InstructionCurricula/Materials",'17'!$G$83:$G$107)</f>
        <v>0</v>
      </c>
      <c r="G12" s="50">
        <f>SUMIF('17'!$N$118:$N$134,"InstructionCurricula/Materials",'17'!$G$118:$G$134)</f>
        <v>0</v>
      </c>
      <c r="H12" s="50">
        <f>SUMIF('17'!$N$145:$N$169,"InstructionCurricula/Materials",'17'!$G$145:$G$169)</f>
        <v>0</v>
      </c>
      <c r="I12" s="50">
        <f>SUMIF('17'!$N$180:$N$204,"InstructionCurricula/Materials",'17'!$G$180:$G$204)</f>
        <v>0</v>
      </c>
      <c r="J12" s="170">
        <f t="shared" si="0"/>
        <v>0</v>
      </c>
      <c r="K12" s="840"/>
    </row>
    <row r="13" spans="1:11" ht="12.75" customHeight="1" x14ac:dyDescent="0.2">
      <c r="A13" s="852"/>
      <c r="B13" s="856"/>
      <c r="C13" s="36" t="s">
        <v>129</v>
      </c>
      <c r="D13" s="49">
        <f>SUMIF('17'!$N$14:$N$37,"InstructionTutorials",'17'!$G$14:$G$37)</f>
        <v>0</v>
      </c>
      <c r="E13" s="50">
        <f>SUMIF('17'!$N$48:$N$72,"InstructionTutorials",'17'!$G$48:$G$72)</f>
        <v>0</v>
      </c>
      <c r="F13" s="50">
        <f>SUMIF('17'!$N$83:$N$107,"InstructionTutorials",'17'!$G$83:$G$107)</f>
        <v>0</v>
      </c>
      <c r="G13" s="50">
        <f>SUMIF('17'!$N$118:$N$134,"InstructionTutorials",'17'!$G$118:$G$134)</f>
        <v>0</v>
      </c>
      <c r="H13" s="50">
        <f>SUMIF('17'!$N$145:$N$169,"InstructionTutorials",'17'!$G$145:$G$169)</f>
        <v>0</v>
      </c>
      <c r="I13" s="50">
        <f>SUMIF('17'!$N$180:$N$204,"InstructionTutorials",'17'!$G$180:$G$204)</f>
        <v>0</v>
      </c>
      <c r="J13" s="170">
        <f t="shared" si="0"/>
        <v>0</v>
      </c>
      <c r="K13" s="840"/>
    </row>
    <row r="14" spans="1:11" ht="12.75" customHeight="1" x14ac:dyDescent="0.2">
      <c r="A14" s="852"/>
      <c r="B14" s="856"/>
      <c r="C14" s="36" t="s">
        <v>130</v>
      </c>
      <c r="D14" s="49">
        <f>SUMIF('17'!$N$14:$N$37,"InstructionLang. Instruction Prog.",'17'!$G$14:$G$37)</f>
        <v>0</v>
      </c>
      <c r="E14" s="50">
        <f>SUMIF('17'!$N$48:$N$72,"InstructionLang. Instruction Prog.",'17'!$G$48:$G$72)</f>
        <v>0</v>
      </c>
      <c r="F14" s="50">
        <f>SUMIF('17'!$N$83:$N$107,"InstructionLang. Instruction Prog.",'17'!$G$83:$G$107)</f>
        <v>0</v>
      </c>
      <c r="G14" s="50">
        <f>SUMIF('17'!$N$118:$N$134,"InstructionLang. Instruction Prog.",'17'!$G$118:$G$134)</f>
        <v>0</v>
      </c>
      <c r="H14" s="50">
        <f>SUMIF('17'!$N$145:$N$169,"InstructionLang. Instruction Prog.",'17'!$G$145:$G$169)</f>
        <v>0</v>
      </c>
      <c r="I14" s="50">
        <f>SUMIF('17'!$N$180:$N$204,"InstructionLang. Instruction Prog.",'17'!$G$180:$G$204)</f>
        <v>0</v>
      </c>
      <c r="J14" s="170">
        <f t="shared" si="0"/>
        <v>0</v>
      </c>
      <c r="K14" s="840"/>
    </row>
    <row r="15" spans="1:11" ht="12.75" customHeight="1" x14ac:dyDescent="0.2">
      <c r="A15" s="852"/>
      <c r="B15" s="856"/>
      <c r="C15" s="36" t="s">
        <v>131</v>
      </c>
      <c r="D15" s="49">
        <f>SUMIF('17'!$N$14:$N$37,"InstructionParent/Community",'17'!$G$14:$G$37)</f>
        <v>0</v>
      </c>
      <c r="E15" s="50">
        <f>SUMIF('17'!$N$48:$N$72,"InstructionParent/Community",'17'!$G$48:$G$72)</f>
        <v>0</v>
      </c>
      <c r="F15" s="50">
        <f>SUMIF('17'!$N$83:$N$107,"InstructionParent/Community",'17'!$G$83:$G$107)</f>
        <v>0</v>
      </c>
      <c r="G15" s="50">
        <f>SUMIF('17'!$N$118:$N$134,"InstructionParent/Community",'17'!$G$118:$G$134)</f>
        <v>0</v>
      </c>
      <c r="H15" s="50">
        <f>SUMIF('17'!$N$145:$N$169,"InstructionParent/Community",'17'!$G$145:$G$169)</f>
        <v>0</v>
      </c>
      <c r="I15" s="50">
        <f>SUMIF('17'!$N$180:$N$204,"InstructionParent/Community",'17'!$G$180:$G$204)</f>
        <v>0</v>
      </c>
      <c r="J15" s="170">
        <f t="shared" si="0"/>
        <v>0</v>
      </c>
      <c r="K15" s="840"/>
    </row>
    <row r="16" spans="1:11" ht="12.75" customHeight="1" x14ac:dyDescent="0.2">
      <c r="A16" s="852"/>
      <c r="B16" s="856"/>
      <c r="C16" s="36" t="s">
        <v>133</v>
      </c>
      <c r="D16" s="49">
        <f>SUMIF('17'!$N$14:$N$37,"InstructionEd. Technology",'17'!$G$14:$G$37)</f>
        <v>0</v>
      </c>
      <c r="E16" s="50">
        <f>SUMIF('17'!$N$48:$N$72,"InstructionEd. Technology",'17'!$G$48:$G$72)</f>
        <v>0</v>
      </c>
      <c r="F16" s="50">
        <f>SUMIF('17'!$N$83:$N$107,"InstructionEd. Technology",'17'!$G$83:$G$107)</f>
        <v>0</v>
      </c>
      <c r="G16" s="50">
        <f>SUMIF('17'!$N$118:$N$134,"InstructionEd. Technology",'17'!$G$118:$G$134)</f>
        <v>0</v>
      </c>
      <c r="H16" s="50">
        <f>SUMIF('17'!$N$145:$N$169,"InstructionEd. Technology",'17'!$G$145:$G$169)</f>
        <v>0</v>
      </c>
      <c r="I16" s="50">
        <f>SUMIF('17'!$N$180:$N$204,"InstructionEd. Technology",'17'!$G$180:$G$204)</f>
        <v>0</v>
      </c>
      <c r="J16" s="170">
        <f t="shared" si="0"/>
        <v>0</v>
      </c>
      <c r="K16" s="840"/>
    </row>
    <row r="17" spans="1:11" ht="12.75" customHeight="1" x14ac:dyDescent="0.2">
      <c r="A17" s="852"/>
      <c r="B17" s="856"/>
      <c r="C17" s="36" t="s">
        <v>108</v>
      </c>
      <c r="D17" s="49">
        <f>SUMIF('17'!$N$14:$N$37,"InstructionEquitable Services",'17'!$G$14:$G$37)</f>
        <v>0</v>
      </c>
      <c r="E17" s="50">
        <f>SUMIF('17'!$N$48:$N$72,"InstructionEquitable Services",'17'!$G$48:$G$72)</f>
        <v>0</v>
      </c>
      <c r="F17" s="50">
        <f>SUMIF('17'!$N$83:$N$107,"InstructionEquitable Services",'17'!$G$83:$G$107)</f>
        <v>0</v>
      </c>
      <c r="G17" s="50">
        <f>SUMIF('17'!$N$118:$N$134,"InstructionEquitable Services",'17'!$G$118:$G$134)</f>
        <v>0</v>
      </c>
      <c r="H17" s="50">
        <f>SUMIF('17'!$N$145:$N$169,"InstructionEquitable Services",'17'!$G$145:$G$169)</f>
        <v>0</v>
      </c>
      <c r="I17" s="50">
        <f>SUMIF('17'!$N$180:$N$204,"InstructionEquitable Services",'17'!$G$180:$G$204)</f>
        <v>0</v>
      </c>
      <c r="J17" s="170">
        <f t="shared" si="0"/>
        <v>0</v>
      </c>
      <c r="K17" s="840"/>
    </row>
    <row r="18" spans="1:11" ht="12.75" customHeight="1" x14ac:dyDescent="0.2">
      <c r="A18" s="852"/>
      <c r="B18" s="856"/>
      <c r="C18" s="36" t="s">
        <v>52</v>
      </c>
      <c r="D18" s="49">
        <f>SUMIF('17'!$N$14:$N$37,"InstructionOther",'17'!$G$14:$G$37)</f>
        <v>0</v>
      </c>
      <c r="E18" s="50">
        <f>SUMIF('17'!$N$48:$N$72,"InstructionOther",'17'!$G$48:$G$72)</f>
        <v>0</v>
      </c>
      <c r="F18" s="50">
        <f>SUMIF('17'!$N$83:$N$107,"InstructionOther",'17'!$G$83:$G$107)</f>
        <v>0</v>
      </c>
      <c r="G18" s="50">
        <f>SUMIF('17'!$N$118:$N$134,"InstructionOther",'17'!$G$118:$G$134)</f>
        <v>0</v>
      </c>
      <c r="H18" s="50">
        <f>SUMIF('17'!$N$145:$N$169,"InstructionOther",'17'!$G$145:$G$169)</f>
        <v>0</v>
      </c>
      <c r="I18" s="50">
        <f>SUMIF('17'!$N$180:$N$204,"InstructionOther",'17'!$G$180:$G$204)</f>
        <v>0</v>
      </c>
      <c r="J18" s="170">
        <f t="shared" si="0"/>
        <v>0</v>
      </c>
      <c r="K18" s="840"/>
    </row>
    <row r="19" spans="1:11" ht="13.5" customHeight="1" thickBot="1" x14ac:dyDescent="0.25">
      <c r="A19" s="852"/>
      <c r="B19" s="945"/>
      <c r="C19" s="37" t="s">
        <v>112</v>
      </c>
      <c r="D19" s="38">
        <f t="shared" ref="D19:I19" si="1">SUM(D9:D18)</f>
        <v>100000</v>
      </c>
      <c r="E19" s="38">
        <f t="shared" si="1"/>
        <v>0</v>
      </c>
      <c r="F19" s="38">
        <f t="shared" si="1"/>
        <v>0</v>
      </c>
      <c r="G19" s="38">
        <f t="shared" si="1"/>
        <v>0</v>
      </c>
      <c r="H19" s="38">
        <f t="shared" si="1"/>
        <v>0</v>
      </c>
      <c r="I19" s="38">
        <f t="shared" si="1"/>
        <v>0</v>
      </c>
      <c r="J19" s="41">
        <f t="shared" si="0"/>
        <v>100000</v>
      </c>
      <c r="K19" s="840"/>
    </row>
    <row r="20" spans="1:11" ht="12.75" customHeight="1" x14ac:dyDescent="0.2">
      <c r="A20" s="852"/>
      <c r="B20" s="854" t="s">
        <v>51</v>
      </c>
      <c r="C20" s="35" t="s">
        <v>127</v>
      </c>
      <c r="D20" s="47">
        <f>SUMIF('17'!$N$14:$N$37,"Support ServicesEng. Proficiency",'17'!$G$14:$G$37)</f>
        <v>3950</v>
      </c>
      <c r="E20" s="48">
        <f>SUMIF('17'!$N$48:$N$72,"Support ServicesEng. Proficiency",'17'!$G$48:$G$72)</f>
        <v>0</v>
      </c>
      <c r="F20" s="48">
        <f>SUMIF('17'!$N$83:$N$107,"Support ServicesEng. Proficiency",'17'!$G$83:$G$107)</f>
        <v>0</v>
      </c>
      <c r="G20" s="48">
        <f>SUMIF('17'!$N$118:$N$134,"Support ServicesEng. Proficiency",'17'!$G$118:$G$134)</f>
        <v>0</v>
      </c>
      <c r="H20" s="48">
        <f>SUMIF('17'!$N$145:$N$169,"Support ServicesEng. Proficiency",'17'!$G$145:$G$169)</f>
        <v>0</v>
      </c>
      <c r="I20" s="48">
        <f>SUMIF('17'!$N$180:$N$204,"Support ServicesEng. Proficiency",'17'!$G$180:$G$204)</f>
        <v>0</v>
      </c>
      <c r="J20" s="169">
        <f t="shared" si="0"/>
        <v>3950</v>
      </c>
      <c r="K20" s="840"/>
    </row>
    <row r="21" spans="1:11" ht="12.75" customHeight="1" x14ac:dyDescent="0.2">
      <c r="A21" s="852"/>
      <c r="B21" s="856"/>
      <c r="C21" s="36" t="s">
        <v>109</v>
      </c>
      <c r="D21" s="49">
        <f>SUMIF('17'!$N$14:$N$37,"Support ServicesProf. Development",'17'!$G$14:$G$37)</f>
        <v>0</v>
      </c>
      <c r="E21" s="50">
        <f>SUMIF('17'!$N$48:$N$72,"Support ServicesProf. Development",'17'!$G$48:$G$72)</f>
        <v>0</v>
      </c>
      <c r="F21" s="50">
        <f>SUMIF('17'!$N$83:$N$107,"Support ServicesProf. Development",'17'!$G$83:$G$107)</f>
        <v>0</v>
      </c>
      <c r="G21" s="50">
        <f>SUMIF('17'!$N$118:$N$134,"Support ServicesProf. Development",'17'!$G$118:$G$134)</f>
        <v>43922.35</v>
      </c>
      <c r="H21" s="50">
        <f>SUMIF('17'!$N$145:$N$169,"Support ServicesProf. Development",'17'!$G$145:$G$169)</f>
        <v>0</v>
      </c>
      <c r="I21" s="50">
        <f>SUMIF('17'!$N$180:$N$204,"Support ServicesProf. Development",'17'!$G$180:$G$204)</f>
        <v>17077.650000000001</v>
      </c>
      <c r="J21" s="170">
        <f t="shared" si="0"/>
        <v>61000</v>
      </c>
      <c r="K21" s="840"/>
    </row>
    <row r="22" spans="1:11" ht="12.75" customHeight="1" x14ac:dyDescent="0.2">
      <c r="A22" s="852"/>
      <c r="B22" s="856"/>
      <c r="C22" s="36" t="s">
        <v>128</v>
      </c>
      <c r="D22" s="49">
        <f>SUMIF('17'!$N$14:$N$37,"Support ServicesObjectives/Strategies",'17'!$G$14:$G$37)</f>
        <v>0</v>
      </c>
      <c r="E22" s="50">
        <f>SUMIF('17'!$N$48:$N$72,"Support ServicesObjectives/Strategies",'17'!$G$48:$G$72)</f>
        <v>0</v>
      </c>
      <c r="F22" s="50">
        <f>SUMIF('17'!$N$83:$N$107,"Support ServicesObjectives/Strategies",'17'!$G$83:$G$107)</f>
        <v>0</v>
      </c>
      <c r="G22" s="50">
        <f>SUMIF('17'!$N$118:$N$134,"Support ServicesObjectives/Strategies",'17'!$G$118:$G$134)</f>
        <v>0</v>
      </c>
      <c r="H22" s="50">
        <f>SUMIF('17'!$N$145:$N$169,"Support ServicesObjectives/Strategies",'17'!$G$145:$G$169)</f>
        <v>0</v>
      </c>
      <c r="I22" s="50">
        <f>SUMIF('17'!$N$180:$N$204,"Support ServicesObjectives/Strategies",'17'!$G$180:$G$204)</f>
        <v>0</v>
      </c>
      <c r="J22" s="170">
        <f t="shared" si="0"/>
        <v>0</v>
      </c>
      <c r="K22" s="840"/>
    </row>
    <row r="23" spans="1:11" ht="12.75" customHeight="1" x14ac:dyDescent="0.2">
      <c r="A23" s="852"/>
      <c r="B23" s="856"/>
      <c r="C23" s="36" t="s">
        <v>132</v>
      </c>
      <c r="D23" s="49">
        <f>SUMIF('17'!$N$14:$N$37,"Support ServicesCurricula/Materials",'17'!$G$14:$G$37)</f>
        <v>10000</v>
      </c>
      <c r="E23" s="50">
        <f>SUMIF('17'!$N$48:$N$72,"Support ServicesCurricula/Materials",'17'!$G$48:$G$72)</f>
        <v>33817.35</v>
      </c>
      <c r="F23" s="50">
        <f>SUMIF('17'!$N$83:$N$107,"Support ServicesCurricula/Materials",'17'!$G$83:$G$107)</f>
        <v>0</v>
      </c>
      <c r="G23" s="50">
        <f>SUMIF('17'!$N$118:$N$134,"Support ServicesCurricula/Materials",'17'!$G$118:$G$134)</f>
        <v>0</v>
      </c>
      <c r="H23" s="50">
        <f>SUMIF('17'!$N$145:$N$169,"Support ServicesCurricula/Materials",'17'!$G$145:$G$169)</f>
        <v>0</v>
      </c>
      <c r="I23" s="50">
        <f>SUMIF('17'!$N$180:$N$204,"Support ServicesCurricula/Materials",'17'!$G$180:$G$204)</f>
        <v>0</v>
      </c>
      <c r="J23" s="170">
        <f t="shared" si="0"/>
        <v>43817.35</v>
      </c>
      <c r="K23" s="840"/>
    </row>
    <row r="24" spans="1:11" ht="12.75" customHeight="1" x14ac:dyDescent="0.2">
      <c r="A24" s="852"/>
      <c r="B24" s="856"/>
      <c r="C24" s="36" t="s">
        <v>129</v>
      </c>
      <c r="D24" s="49">
        <f>SUMIF('17'!$N$14:$N$37,"Support ServicesTutorials",'17'!$G$14:$G$37)</f>
        <v>4000</v>
      </c>
      <c r="E24" s="50">
        <f>SUMIF('17'!$N$48:$N$72,"Support ServicesTutorials",'17'!$G$48:$G$72)</f>
        <v>0</v>
      </c>
      <c r="F24" s="50">
        <f>SUMIF('17'!$N$83:$N$107,"Support ServicesTutorials",'17'!$G$83:$G$107)</f>
        <v>0</v>
      </c>
      <c r="G24" s="50">
        <f>SUMIF('17'!$N$118:$N$134,"Support ServicesTutorials",'17'!$G$118:$G$134)</f>
        <v>25000</v>
      </c>
      <c r="H24" s="50">
        <f>SUMIF('17'!$N$145:$N$169,"Support ServicesTutorials",'17'!$G$145:$G$169)</f>
        <v>0</v>
      </c>
      <c r="I24" s="50">
        <f>SUMIF('17'!$N$180:$N$204,"Support ServicesTutorials",'17'!$G$180:$G$204)</f>
        <v>0</v>
      </c>
      <c r="J24" s="170">
        <f t="shared" si="0"/>
        <v>29000</v>
      </c>
      <c r="K24" s="840"/>
    </row>
    <row r="25" spans="1:11" ht="12.75" customHeight="1" x14ac:dyDescent="0.2">
      <c r="A25" s="852"/>
      <c r="B25" s="856"/>
      <c r="C25" s="36" t="s">
        <v>130</v>
      </c>
      <c r="D25" s="49">
        <f>SUMIF('17'!$N$14:$N$37,"Support ServicesLang. Instruction Prog.",'17'!$G$14:$G$37)</f>
        <v>8000</v>
      </c>
      <c r="E25" s="50">
        <f>SUMIF('17'!$N$48:$N$72,"Support ServicesLang. Instruction Prog.",'17'!$G$48:$G$72)</f>
        <v>21000.52</v>
      </c>
      <c r="F25" s="50">
        <f>SUMIF('17'!$N$83:$N$107,"Support ServicesLang. Instruction Prog.",'17'!$G$83:$G$107)</f>
        <v>0</v>
      </c>
      <c r="G25" s="50">
        <f>SUMIF('17'!$N$118:$N$134,"Support ServicesLang. Instruction Prog.",'17'!$G$118:$G$134)</f>
        <v>0</v>
      </c>
      <c r="H25" s="50">
        <f>SUMIF('17'!$N$145:$N$169,"Support ServicesLang. Instruction Prog.",'17'!$G$145:$G$169)</f>
        <v>0</v>
      </c>
      <c r="I25" s="50">
        <f>SUMIF('17'!$N$180:$N$204,"Support ServicesLang. Instruction Prog.",'17'!$G$180:$G$204)</f>
        <v>0</v>
      </c>
      <c r="J25" s="170">
        <f t="shared" si="0"/>
        <v>29000.52</v>
      </c>
      <c r="K25" s="840"/>
    </row>
    <row r="26" spans="1:11" ht="12.75" customHeight="1" x14ac:dyDescent="0.2">
      <c r="A26" s="852"/>
      <c r="B26" s="856"/>
      <c r="C26" s="36" t="s">
        <v>131</v>
      </c>
      <c r="D26" s="49">
        <f>SUMIF('17'!$N$14:$N$37,"Support ServicesParent/Community",'17'!$G$14:$G$37)</f>
        <v>0</v>
      </c>
      <c r="E26" s="50">
        <f>SUMIF('17'!$N$48:$N$72,"Support ServicesParent/Community",'17'!$G$48:$G$72)</f>
        <v>8000</v>
      </c>
      <c r="F26" s="50">
        <f>SUMIF('17'!$N$83:$N$107,"Support ServicesParent/Community",'17'!$G$83:$G$107)</f>
        <v>0</v>
      </c>
      <c r="G26" s="50">
        <f>SUMIF('17'!$N$118:$N$134,"Support ServicesParent/Community",'17'!$G$118:$G$134)</f>
        <v>21000</v>
      </c>
      <c r="H26" s="50">
        <f>SUMIF('17'!$N$145:$N$169,"Support ServicesParent/Community",'17'!$G$145:$G$169)</f>
        <v>0</v>
      </c>
      <c r="I26" s="50">
        <f>SUMIF('17'!$N$180:$N$204,"Support ServicesParent/Community",'17'!$G$180:$G$204)</f>
        <v>1000</v>
      </c>
      <c r="J26" s="170">
        <f t="shared" si="0"/>
        <v>30000</v>
      </c>
      <c r="K26" s="840"/>
    </row>
    <row r="27" spans="1:11" ht="12.75" customHeight="1" x14ac:dyDescent="0.2">
      <c r="A27" s="852"/>
      <c r="B27" s="856"/>
      <c r="C27" s="36" t="s">
        <v>133</v>
      </c>
      <c r="D27" s="49">
        <f>SUMIF('17'!$N$14:$N$37,"Support ServicesEd. Technology",'17'!$G$14:$G$37)</f>
        <v>0</v>
      </c>
      <c r="E27" s="50">
        <f>SUMIF('17'!$N$48:$N$72,"Support ServicesEd. Technology",'17'!$G$48:$G$72)</f>
        <v>0</v>
      </c>
      <c r="F27" s="50">
        <f>SUMIF('17'!$N$83:$N$107,"Support ServicesEd. Technology",'17'!$G$83:$G$107)</f>
        <v>0</v>
      </c>
      <c r="G27" s="50">
        <f>SUMIF('17'!$N$118:$N$134,"Support ServicesEd. Technology",'17'!$G$118:$G$134)</f>
        <v>51000</v>
      </c>
      <c r="H27" s="50">
        <f>SUMIF('17'!$N$145:$N$169,"Support ServicesEd. Technology",'17'!$G$145:$G$169)</f>
        <v>0</v>
      </c>
      <c r="I27" s="50">
        <f>SUMIF('17'!$N$180:$N$204,"Support ServicesEd. Technology",'17'!$G$180:$G$204)</f>
        <v>0</v>
      </c>
      <c r="J27" s="170">
        <f t="shared" si="0"/>
        <v>51000</v>
      </c>
      <c r="K27" s="840"/>
    </row>
    <row r="28" spans="1:11" ht="12.75" customHeight="1" x14ac:dyDescent="0.2">
      <c r="A28" s="852"/>
      <c r="B28" s="856"/>
      <c r="C28" s="36" t="s">
        <v>108</v>
      </c>
      <c r="D28" s="49">
        <f>SUMIF('17'!$N$14:$N$37,"Support ServicesEquitable Services",'17'!$G$14:$G$37)</f>
        <v>0</v>
      </c>
      <c r="E28" s="50">
        <f>SUMIF('17'!$N$48:$N$72,"Support ServicesEquitable Services",'17'!$G$48:$G$72)</f>
        <v>10000</v>
      </c>
      <c r="F28" s="50">
        <f>SUMIF('17'!$N$83:$N$107,"Support ServicesEquitable Services",'17'!$G$83:$G$107)</f>
        <v>0</v>
      </c>
      <c r="G28" s="50">
        <f>SUMIF('17'!$N$118:$N$134,"Support ServicesEquitable Services",'17'!$G$118:$G$134)</f>
        <v>6327.65</v>
      </c>
      <c r="H28" s="50">
        <f>SUMIF('17'!$N$145:$N$169,"Support ServicesEquitable Services",'17'!$G$145:$G$169)</f>
        <v>0</v>
      </c>
      <c r="I28" s="50">
        <f>SUMIF('17'!$N$180:$N$204,"Support ServicesEquitable Services",'17'!$G$180:$G$204)</f>
        <v>0</v>
      </c>
      <c r="J28" s="170">
        <f t="shared" si="0"/>
        <v>16327.65</v>
      </c>
      <c r="K28" s="840"/>
    </row>
    <row r="29" spans="1:11" ht="12.75" customHeight="1" x14ac:dyDescent="0.2">
      <c r="A29" s="852"/>
      <c r="B29" s="856"/>
      <c r="C29" s="36" t="s">
        <v>52</v>
      </c>
      <c r="D29" s="49">
        <f>SUMIF('17'!$N$14:$N$37,"Support ServicesOther",'17'!$G$14:$G$37)</f>
        <v>0</v>
      </c>
      <c r="E29" s="50">
        <f>SUMIF('17'!$N$48:$N$72,"Support ServicesOther",'17'!$G$48:$G$72)</f>
        <v>0</v>
      </c>
      <c r="F29" s="50">
        <f>SUMIF('17'!$N$83:$N$107,"Support ServicesOther",'17'!$G$83:$G$107)</f>
        <v>0</v>
      </c>
      <c r="G29" s="50">
        <f>SUMIF('17'!$N$118:$N$134,"Support ServicesOther",'17'!$G$118:$G$134)</f>
        <v>0</v>
      </c>
      <c r="H29" s="50">
        <f>SUMIF('17'!$N$145:$N$169,"Support ServicesOther",'17'!$G$145:$G$169)</f>
        <v>0</v>
      </c>
      <c r="I29" s="50">
        <f>SUMIF('17'!$N$180:$N$204,"Support ServicesOther",'17'!$G$180:$G$204)</f>
        <v>0</v>
      </c>
      <c r="J29" s="170">
        <f t="shared" si="0"/>
        <v>0</v>
      </c>
      <c r="K29" s="840"/>
    </row>
    <row r="30" spans="1:11" ht="13.5" customHeight="1" thickBot="1" x14ac:dyDescent="0.25">
      <c r="A30" s="852"/>
      <c r="B30" s="945"/>
      <c r="C30" s="37" t="s">
        <v>112</v>
      </c>
      <c r="D30" s="38">
        <f t="shared" ref="D30:I30" si="2">SUM(D20:D29)</f>
        <v>25950</v>
      </c>
      <c r="E30" s="38">
        <f t="shared" si="2"/>
        <v>72817.87</v>
      </c>
      <c r="F30" s="38">
        <f t="shared" si="2"/>
        <v>0</v>
      </c>
      <c r="G30" s="38">
        <f t="shared" si="2"/>
        <v>147250</v>
      </c>
      <c r="H30" s="38">
        <f t="shared" si="2"/>
        <v>0</v>
      </c>
      <c r="I30" s="38">
        <f t="shared" si="2"/>
        <v>18077.650000000001</v>
      </c>
      <c r="J30" s="41">
        <f t="shared" si="0"/>
        <v>264095.52</v>
      </c>
      <c r="K30" s="840"/>
    </row>
    <row r="31" spans="1:11" ht="12.75" customHeight="1" x14ac:dyDescent="0.2">
      <c r="A31" s="852"/>
      <c r="B31" s="854" t="s">
        <v>94</v>
      </c>
      <c r="C31" s="35" t="s">
        <v>127</v>
      </c>
      <c r="D31" s="47">
        <f>SUMIF('17'!$N$14:$N$37,"AdministrationEng. Proficiency",'17'!$G$14:$G$37)</f>
        <v>0</v>
      </c>
      <c r="E31" s="48">
        <f>SUMIF('17'!$N$48:$N$72,"AdministrationEng. Proficiency",'17'!$G$48:$G$72)</f>
        <v>0</v>
      </c>
      <c r="F31" s="48">
        <f>SUMIF('17'!$N$83:$N$107,"AdministrationEng. Proficiency",'17'!$G$83:$G$107)</f>
        <v>0</v>
      </c>
      <c r="G31" s="48">
        <f>SUMIF('17'!$N$118:$N$134,"AdministrationEng. Proficiency",'17'!$G$118:$G$134)</f>
        <v>0</v>
      </c>
      <c r="H31" s="48">
        <f>SUMIF('17'!$N$145:$N$169,"AdministrationEng. Proficiency",'17'!$G$145:$G$169)</f>
        <v>0</v>
      </c>
      <c r="I31" s="48">
        <f>SUMIF('17'!$N$180:$N$204,"AdministrationEng. Proficiency",'17'!$G$180:$G$204)</f>
        <v>0</v>
      </c>
      <c r="J31" s="169">
        <f t="shared" si="0"/>
        <v>0</v>
      </c>
      <c r="K31" s="840"/>
    </row>
    <row r="32" spans="1:11" ht="12.75" customHeight="1" x14ac:dyDescent="0.2">
      <c r="A32" s="852"/>
      <c r="B32" s="856"/>
      <c r="C32" s="36" t="s">
        <v>109</v>
      </c>
      <c r="D32" s="49">
        <f>SUMIF('17'!$N$14:$N$37,"AdministrationProf. Development",'17'!$G$14:$G$37)</f>
        <v>0</v>
      </c>
      <c r="E32" s="50">
        <f>SUMIF('17'!$N$48:$N$72,"AdministrationProf. Development",'17'!$G$48:$G$72)</f>
        <v>0</v>
      </c>
      <c r="F32" s="50">
        <f>SUMIF('17'!$N$83:$N$107,"AdministrationProf. Development",'17'!$G$83:$G$107)</f>
        <v>0</v>
      </c>
      <c r="G32" s="50">
        <f>SUMIF('17'!$N$118:$N$134,"AdministrationProf. Development",'17'!$G$118:$G$134)</f>
        <v>0</v>
      </c>
      <c r="H32" s="50">
        <f>SUMIF('17'!$N$145:$N$169,"AdministrationProf. Development",'17'!$G$145:$G$169)</f>
        <v>0</v>
      </c>
      <c r="I32" s="50">
        <f>SUMIF('17'!$N$180:$N$204,"AdministrationProf. Development",'17'!$G$180:$G$204)</f>
        <v>0</v>
      </c>
      <c r="J32" s="170">
        <f t="shared" si="0"/>
        <v>0</v>
      </c>
      <c r="K32" s="840"/>
    </row>
    <row r="33" spans="1:11" ht="12.75" customHeight="1" x14ac:dyDescent="0.2">
      <c r="A33" s="852"/>
      <c r="B33" s="856"/>
      <c r="C33" s="36" t="s">
        <v>128</v>
      </c>
      <c r="D33" s="49">
        <f>SUMIF('17'!$N$14:$N$37,"AdministrationObjectives/Strategies",'17'!$G$14:$G$37)</f>
        <v>0</v>
      </c>
      <c r="E33" s="50">
        <f>SUMIF('17'!$N$48:$N$72,"AdministrationObjectives/Strategies",'17'!$G$48:$G$72)</f>
        <v>0</v>
      </c>
      <c r="F33" s="50">
        <f>SUMIF('17'!$N$83:$N$107,"AdministrationObjectives/Strategies",'17'!$G$83:$G$107)</f>
        <v>0</v>
      </c>
      <c r="G33" s="50">
        <f>SUMIF('17'!$N$118:$N$134,"AdministrationObjectives/Strategies",'17'!$G$118:$G$134)</f>
        <v>0</v>
      </c>
      <c r="H33" s="50">
        <f>SUMIF('17'!$N$145:$N$169,"AdministrationObjectives/Strategies",'17'!$G$145:$G$169)</f>
        <v>0</v>
      </c>
      <c r="I33" s="50">
        <f>SUMIF('17'!$N$180:$N$204,"AdministrationObjectives/Strategies",'17'!$G$180:$G$204)</f>
        <v>0</v>
      </c>
      <c r="J33" s="170">
        <f t="shared" si="0"/>
        <v>0</v>
      </c>
      <c r="K33" s="840"/>
    </row>
    <row r="34" spans="1:11" ht="12.75" customHeight="1" x14ac:dyDescent="0.2">
      <c r="A34" s="852"/>
      <c r="B34" s="856"/>
      <c r="C34" s="36" t="s">
        <v>132</v>
      </c>
      <c r="D34" s="49">
        <f>SUMIF('17'!$N$14:$N$37,"AdministrationCurricula/Materials",'17'!$G$14:$G$37)</f>
        <v>0</v>
      </c>
      <c r="E34" s="50">
        <f>SUMIF('17'!$N$48:$N$72,"AdministrationCurricula/Materials",'17'!$G$48:$G$72)</f>
        <v>0</v>
      </c>
      <c r="F34" s="50">
        <f>SUMIF('17'!$N$83:$N$107,"AdministrationCurricula/Materials",'17'!$G$83:$G$107)</f>
        <v>0</v>
      </c>
      <c r="G34" s="50">
        <f>SUMIF('17'!$N$118:$N$134,"AdministrationCurricula/Materials",'17'!$G$118:$G$134)</f>
        <v>0</v>
      </c>
      <c r="H34" s="50">
        <f>SUMIF('17'!$N$145:$N$169,"AdministrationCurricula/Materials",'17'!$G$145:$G$169)</f>
        <v>0</v>
      </c>
      <c r="I34" s="50">
        <f>SUMIF('17'!$N$180:$N$204,"AdministrationCurricula/Materials",'17'!$G$180:$G$204)</f>
        <v>0</v>
      </c>
      <c r="J34" s="170">
        <f t="shared" si="0"/>
        <v>0</v>
      </c>
      <c r="K34" s="840"/>
    </row>
    <row r="35" spans="1:11" ht="12.75" customHeight="1" x14ac:dyDescent="0.2">
      <c r="A35" s="852"/>
      <c r="B35" s="856"/>
      <c r="C35" s="36" t="s">
        <v>129</v>
      </c>
      <c r="D35" s="49">
        <f>SUMIF('17'!$N$14:$N$37,"AdministrationTutorials",'17'!$G$14:$G$37)</f>
        <v>0</v>
      </c>
      <c r="E35" s="50">
        <f>SUMIF('17'!$N$48:$N$72,"AdministrationTutorials",'17'!$G$48:$G$72)</f>
        <v>0</v>
      </c>
      <c r="F35" s="50">
        <f>SUMIF('17'!$N$83:$N$107,"AdministrationTutorials",'17'!$G$83:$G$107)</f>
        <v>0</v>
      </c>
      <c r="G35" s="50">
        <f>SUMIF('17'!$N$118:$N$134,"AdministrationTutorials",'17'!$G$118:$G$134)</f>
        <v>0</v>
      </c>
      <c r="H35" s="50">
        <f>SUMIF('17'!$N$145:$N$169,"AdministrationTutorials",'17'!$G$145:$G$169)</f>
        <v>0</v>
      </c>
      <c r="I35" s="50">
        <f>SUMIF('17'!$N$180:$N$204,"AdministrationTutorials",'17'!$G$180:$G$204)</f>
        <v>0</v>
      </c>
      <c r="J35" s="170">
        <f t="shared" si="0"/>
        <v>0</v>
      </c>
      <c r="K35" s="840"/>
    </row>
    <row r="36" spans="1:11" ht="12.75" customHeight="1" x14ac:dyDescent="0.2">
      <c r="A36" s="852"/>
      <c r="B36" s="856"/>
      <c r="C36" s="36" t="s">
        <v>130</v>
      </c>
      <c r="D36" s="49">
        <f>SUMIF('17'!$N$14:$N$37,"AdministrationLang. Instruction Prog.",'17'!$G$14:$G$37)</f>
        <v>0</v>
      </c>
      <c r="E36" s="50">
        <f>SUMIF('17'!$N$48:$N$72,"AdministrationLang. Instruction Prog.",'17'!$G$48:$G$72)</f>
        <v>0</v>
      </c>
      <c r="F36" s="50">
        <f>SUMIF('17'!$N$83:$N$107,"AdministrationLang. Instruction Prog.",'17'!$G$83:$G$107)</f>
        <v>0</v>
      </c>
      <c r="G36" s="50">
        <f>SUMIF('17'!$N$118:$N$134,"AdministrationLang. Instruction Prog.",'17'!$G$118:$G$134)</f>
        <v>0</v>
      </c>
      <c r="H36" s="50">
        <f>SUMIF('17'!$N$145:$N$169,"AdministrationLang. Instruction Prog.",'17'!$G$145:$G$169)</f>
        <v>0</v>
      </c>
      <c r="I36" s="50">
        <f>SUMIF('17'!$N$180:$N$204,"AdministrationLang. Instruction Prog.",'17'!$G$180:$G$204)</f>
        <v>0</v>
      </c>
      <c r="J36" s="170">
        <f t="shared" si="0"/>
        <v>0</v>
      </c>
      <c r="K36" s="840"/>
    </row>
    <row r="37" spans="1:11" ht="12.75" customHeight="1" x14ac:dyDescent="0.2">
      <c r="A37" s="852"/>
      <c r="B37" s="856"/>
      <c r="C37" s="36" t="s">
        <v>131</v>
      </c>
      <c r="D37" s="49">
        <f>SUMIF('17'!$N$14:$N$37,"AdministrationParent/Community",'17'!$G$14:$G$37)</f>
        <v>0</v>
      </c>
      <c r="E37" s="50">
        <f>SUMIF('17'!$N$48:$N$72,"AdministrationParent/Community",'17'!$G$48:$G$72)</f>
        <v>0</v>
      </c>
      <c r="F37" s="50">
        <f>SUMIF('17'!$N$83:$N$107,"AdministrationParent/Community",'17'!$G$83:$G$107)</f>
        <v>0</v>
      </c>
      <c r="G37" s="50">
        <f>SUMIF('17'!$N$118:$N$134,"AdministrationParent/Community",'17'!$G$118:$G$134)</f>
        <v>0</v>
      </c>
      <c r="H37" s="50">
        <f>SUMIF('17'!$N$145:$N$169,"AdministrationParent/Community",'17'!$G$145:$G$169)</f>
        <v>0</v>
      </c>
      <c r="I37" s="50">
        <f>SUMIF('17'!$N$180:$N$204,"AdministrationParent/Community",'17'!$G$180:$G$204)</f>
        <v>0</v>
      </c>
      <c r="J37" s="170">
        <f t="shared" si="0"/>
        <v>0</v>
      </c>
      <c r="K37" s="840"/>
    </row>
    <row r="38" spans="1:11" ht="12.75" customHeight="1" x14ac:dyDescent="0.2">
      <c r="A38" s="852"/>
      <c r="B38" s="856"/>
      <c r="C38" s="36" t="s">
        <v>133</v>
      </c>
      <c r="D38" s="49">
        <f>SUMIF('17'!$N$14:$N$37,"AdministrationEd. Technology",'17'!$G$14:$G$37)</f>
        <v>0</v>
      </c>
      <c r="E38" s="50">
        <f>SUMIF('17'!$N$48:$N$72,"AdministrationEd. Technology",'17'!$G$48:$G$72)</f>
        <v>0</v>
      </c>
      <c r="F38" s="50">
        <f>SUMIF('17'!$N$83:$N$107,"AdministrationEd. Technology",'17'!$G$83:$G$107)</f>
        <v>0</v>
      </c>
      <c r="G38" s="50">
        <f>SUMIF('17'!$N$118:$N$134,"AdministrationEd. Technology",'17'!$G$118:$G$134)</f>
        <v>0</v>
      </c>
      <c r="H38" s="50">
        <f>SUMIF('17'!$N$145:$N$169,"AdministrationEd. Technology",'17'!$G$145:$G$169)</f>
        <v>0</v>
      </c>
      <c r="I38" s="50">
        <f>SUMIF('17'!$N$180:$N$204,"AdministrationEd. Technology",'17'!$G$180:$G$204)</f>
        <v>0</v>
      </c>
      <c r="J38" s="170">
        <f t="shared" si="0"/>
        <v>0</v>
      </c>
      <c r="K38" s="840"/>
    </row>
    <row r="39" spans="1:11" ht="12.75" customHeight="1" x14ac:dyDescent="0.2">
      <c r="A39" s="852"/>
      <c r="B39" s="856"/>
      <c r="C39" s="36" t="s">
        <v>108</v>
      </c>
      <c r="D39" s="49">
        <f>SUMIF('17'!$N$14:$N$37,"AdministrationEquitable Services",'17'!$G$14:$G$37)</f>
        <v>0</v>
      </c>
      <c r="E39" s="50">
        <f>SUMIF('17'!$N$48:$N$72,"AdministrationEquitable Services",'17'!$G$48:$G$72)</f>
        <v>0</v>
      </c>
      <c r="F39" s="50">
        <f>SUMIF('17'!$N$83:$N$107,"AdministrationEquitable Services",'17'!$G$83:$G$107)</f>
        <v>0</v>
      </c>
      <c r="G39" s="50">
        <f>SUMIF('17'!$N$118:$N$134,"AdministrationEquitable Services",'17'!$G$118:$G$134)</f>
        <v>0</v>
      </c>
      <c r="H39" s="50">
        <f>SUMIF('17'!$N$145:$N$169,"AdministrationEquitable Services",'17'!$G$145:$G$169)</f>
        <v>0</v>
      </c>
      <c r="I39" s="50">
        <f>SUMIF('17'!$N$180:$N$204,"AdministrationEquitable Services",'17'!$G$180:$G$204)</f>
        <v>0</v>
      </c>
      <c r="J39" s="170">
        <f t="shared" si="0"/>
        <v>0</v>
      </c>
      <c r="K39" s="840"/>
    </row>
    <row r="40" spans="1:11" ht="12.75" customHeight="1" x14ac:dyDescent="0.2">
      <c r="A40" s="852"/>
      <c r="B40" s="856"/>
      <c r="C40" s="36" t="s">
        <v>52</v>
      </c>
      <c r="D40" s="49">
        <f>SUMIF('17'!$N$14:$N$37,"AdministrationOther",'17'!$G$14:$G$37)</f>
        <v>0</v>
      </c>
      <c r="E40" s="50">
        <f>SUMIF('17'!$N$48:$N$72,"AdministrationOther",'17'!$G$48:$G$72)</f>
        <v>0</v>
      </c>
      <c r="F40" s="50">
        <f>SUMIF('17'!$N$83:$N$107,"AdministrationOther",'17'!$G$83:$G$107)</f>
        <v>0</v>
      </c>
      <c r="G40" s="50">
        <f>SUMIF('17'!$N$118:$N$134,"AdministrationOther",'17'!$G$118:$G$134)</f>
        <v>0</v>
      </c>
      <c r="H40" s="50">
        <f>SUMIF('17'!$N$145:$N$169,"AdministrationOther",'17'!$G$145:$G$169)</f>
        <v>0</v>
      </c>
      <c r="I40" s="50">
        <f>SUMIF('17'!$N$180:$N$204,"AdministrationOther",'17'!$G$180:$G$204)</f>
        <v>0</v>
      </c>
      <c r="J40" s="170">
        <f t="shared" si="0"/>
        <v>0</v>
      </c>
      <c r="K40" s="840"/>
    </row>
    <row r="41" spans="1:11" ht="13.5" customHeight="1" thickBot="1" x14ac:dyDescent="0.25">
      <c r="A41" s="852"/>
      <c r="B41" s="945"/>
      <c r="C41" s="37" t="s">
        <v>112</v>
      </c>
      <c r="D41" s="38">
        <f t="shared" ref="D41:I41" si="3">SUM(D31:D40)</f>
        <v>0</v>
      </c>
      <c r="E41" s="38">
        <f t="shared" si="3"/>
        <v>0</v>
      </c>
      <c r="F41" s="38">
        <f t="shared" si="3"/>
        <v>0</v>
      </c>
      <c r="G41" s="38">
        <f t="shared" si="3"/>
        <v>0</v>
      </c>
      <c r="H41" s="38">
        <f t="shared" si="3"/>
        <v>0</v>
      </c>
      <c r="I41" s="38">
        <f t="shared" si="3"/>
        <v>0</v>
      </c>
      <c r="J41" s="41">
        <f t="shared" si="0"/>
        <v>0</v>
      </c>
      <c r="K41" s="840"/>
    </row>
    <row r="42" spans="1:11" ht="12.75" customHeight="1" x14ac:dyDescent="0.2">
      <c r="A42" s="852"/>
      <c r="B42" s="854" t="s">
        <v>90</v>
      </c>
      <c r="C42" s="35" t="s">
        <v>127</v>
      </c>
      <c r="D42" s="47">
        <f>SUMIF('17'!$N$14:$N$37,"Operations &amp; MaintenanceEng. Proficiency",'17'!$G$14:$G$37)</f>
        <v>0</v>
      </c>
      <c r="E42" s="48">
        <f>SUMIF('17'!$N$48:$N$72,"Operations &amp; MaintenanceEng. Proficiency",'17'!$G$48:$G$72)</f>
        <v>0</v>
      </c>
      <c r="F42" s="48">
        <f>SUMIF('17'!$N$83:$N$107,"Operations &amp; MaintenanceEng. Proficiency",'17'!$G$83:$G$107)</f>
        <v>0</v>
      </c>
      <c r="G42" s="48">
        <f>SUMIF('17'!$N$118:$N$134,"Operations &amp; MaintenanceEng. Proficiency",'17'!$G$118:$G$134)</f>
        <v>0</v>
      </c>
      <c r="H42" s="48">
        <f>SUMIF('17'!$N$145:$N$169,"Operations &amp; MaintenanceEng. Proficiency",'17'!$G$145:$G$169)</f>
        <v>0</v>
      </c>
      <c r="I42" s="48">
        <f>SUMIF('17'!$N$180:$N$204,"Operations &amp; MaintenanceEng. Proficiency",'17'!$G$180:$G$204)</f>
        <v>0</v>
      </c>
      <c r="J42" s="169">
        <f t="shared" si="0"/>
        <v>0</v>
      </c>
      <c r="K42" s="840"/>
    </row>
    <row r="43" spans="1:11" x14ac:dyDescent="0.2">
      <c r="A43" s="852"/>
      <c r="B43" s="856"/>
      <c r="C43" s="36" t="s">
        <v>109</v>
      </c>
      <c r="D43" s="49">
        <f>SUMIF('17'!$N$14:$N$37,"Operations &amp; MaintenanceProf. Development",'17'!$G$14:$G$37)</f>
        <v>0</v>
      </c>
      <c r="E43" s="50">
        <f>SUMIF('17'!$N$48:$N$72,"Operations &amp; MaintenanceProf. Development",'17'!$G$48:$G$72)</f>
        <v>0</v>
      </c>
      <c r="F43" s="50">
        <f>SUMIF('17'!$N$83:$N$107,"Operations &amp; MaintenanceProf. Development",'17'!$G$83:$G$107)</f>
        <v>0</v>
      </c>
      <c r="G43" s="50">
        <f>SUMIF('17'!$N$118:$N$134,"Operations &amp; MaintenanceProf. Development",'17'!$G$118:$G$134)</f>
        <v>0</v>
      </c>
      <c r="H43" s="50">
        <f>SUMIF('17'!$N$145:$N$169,"Operations &amp; MaintenanceProf. Development",'17'!$G$145:$G$169)</f>
        <v>0</v>
      </c>
      <c r="I43" s="50">
        <f>SUMIF('17'!$N$180:$N$204,"Operations &amp; MaintenanceProf. Development",'17'!$G$180:$G$204)</f>
        <v>0</v>
      </c>
      <c r="J43" s="170">
        <f t="shared" si="0"/>
        <v>0</v>
      </c>
      <c r="K43" s="840"/>
    </row>
    <row r="44" spans="1:11" x14ac:dyDescent="0.2">
      <c r="A44" s="852"/>
      <c r="B44" s="856"/>
      <c r="C44" s="36" t="s">
        <v>128</v>
      </c>
      <c r="D44" s="49">
        <f>SUMIF('17'!$N$14:$N$37,"Operations &amp; MaintenanceObjectives/Strategies",'17'!$G$14:$G$37)</f>
        <v>0</v>
      </c>
      <c r="E44" s="50">
        <f>SUMIF('17'!$N$48:$N$72,"Operations &amp; MaintenanceObjectives/Strategies",'17'!$G$48:$G$72)</f>
        <v>0</v>
      </c>
      <c r="F44" s="50">
        <f>SUMIF('17'!$N$83:$N$107,"Operations &amp; MaintenanceObjectives/Strategies",'17'!$G$83:$G$107)</f>
        <v>0</v>
      </c>
      <c r="G44" s="50">
        <f>SUMIF('17'!$N$118:$N$134,"Operations &amp; MaintenanceObjectives/Strategies",'17'!$G$118:$G$134)</f>
        <v>0</v>
      </c>
      <c r="H44" s="50">
        <f>SUMIF('17'!$N$145:$N$169,"Operations &amp; MaintenanceObjectives/Strategies",'17'!$G$145:$G$169)</f>
        <v>0</v>
      </c>
      <c r="I44" s="50">
        <f>SUMIF('17'!$N$180:$N$204,"Operations &amp; MaintenanceObjectives/Strategies",'17'!$G$180:$G$204)</f>
        <v>0</v>
      </c>
      <c r="J44" s="170">
        <f t="shared" si="0"/>
        <v>0</v>
      </c>
      <c r="K44" s="840"/>
    </row>
    <row r="45" spans="1:11" x14ac:dyDescent="0.2">
      <c r="A45" s="852"/>
      <c r="B45" s="856"/>
      <c r="C45" s="36" t="s">
        <v>132</v>
      </c>
      <c r="D45" s="49">
        <f>SUMIF('17'!$N$14:$N$37,"Operations &amp; MaintenanceCurricula/Materials",'17'!$G$14:$G$37)</f>
        <v>0</v>
      </c>
      <c r="E45" s="50">
        <f>SUMIF('17'!$N$48:$N$72,"Operations &amp; MaintenanceCurricula/Materials",'17'!$G$48:$G$72)</f>
        <v>0</v>
      </c>
      <c r="F45" s="50">
        <f>SUMIF('17'!$N$83:$N$107,"Operations &amp; MaintenanceCurricula/Materials",'17'!$G$83:$G$107)</f>
        <v>0</v>
      </c>
      <c r="G45" s="50">
        <f>SUMIF('17'!$N$118:$N$134,"Operations &amp; MaintenanceCurricula/Materials",'17'!$G$118:$G$134)</f>
        <v>0</v>
      </c>
      <c r="H45" s="50">
        <f>SUMIF('17'!$N$145:$N$169,"Operations &amp; MaintenanceCurricula/Materials",'17'!$G$145:$G$169)</f>
        <v>0</v>
      </c>
      <c r="I45" s="50">
        <f>SUMIF('17'!$N$180:$N$204,"Operations &amp; MaintenanceCurricula/Materials",'17'!$G$180:$G$204)</f>
        <v>0</v>
      </c>
      <c r="J45" s="170">
        <f t="shared" si="0"/>
        <v>0</v>
      </c>
      <c r="K45" s="840"/>
    </row>
    <row r="46" spans="1:11" x14ac:dyDescent="0.2">
      <c r="A46" s="852"/>
      <c r="B46" s="856"/>
      <c r="C46" s="36" t="s">
        <v>129</v>
      </c>
      <c r="D46" s="49">
        <f>SUMIF('17'!$N$14:$N$37,"Operations &amp; MaintenanceTutorials",'17'!$G$14:$G$37)</f>
        <v>0</v>
      </c>
      <c r="E46" s="50">
        <f>SUMIF('17'!$N$48:$N$72,"Operations &amp; MaintenanceTutorials",'17'!$G$48:$G$72)</f>
        <v>0</v>
      </c>
      <c r="F46" s="50">
        <f>SUMIF('17'!$N$83:$N$107,"Operations &amp; MaintenanceTutorials",'17'!$G$83:$G$107)</f>
        <v>0</v>
      </c>
      <c r="G46" s="50">
        <f>SUMIF('17'!$N$118:$N$134,"Operations &amp; MaintenanceTutorials",'17'!$G$118:$G$134)</f>
        <v>0</v>
      </c>
      <c r="H46" s="50">
        <f>SUMIF('17'!$N$145:$N$169,"Operations &amp; MaintenanceTutorials",'17'!$G$145:$G$169)</f>
        <v>0</v>
      </c>
      <c r="I46" s="50">
        <f>SUMIF('17'!$N$180:$N$204,"Operations &amp; MaintenanceTutorials",'17'!$G$180:$G$204)</f>
        <v>0</v>
      </c>
      <c r="J46" s="170">
        <f t="shared" si="0"/>
        <v>0</v>
      </c>
      <c r="K46" s="840"/>
    </row>
    <row r="47" spans="1:11" x14ac:dyDescent="0.2">
      <c r="A47" s="852"/>
      <c r="B47" s="856"/>
      <c r="C47" s="36" t="s">
        <v>130</v>
      </c>
      <c r="D47" s="49">
        <f>SUMIF('17'!$N$14:$N$37,"Operations &amp; MaintenanceLang. Instruction Prog.",'17'!$G$14:$G$37)</f>
        <v>0</v>
      </c>
      <c r="E47" s="50">
        <f>SUMIF('17'!$N$48:$N$72,"Operations &amp; MaintenanceLang. Instruction Prog.",'17'!$G$48:$G$72)</f>
        <v>0</v>
      </c>
      <c r="F47" s="50">
        <f>SUMIF('17'!$N$83:$N$107,"Operations &amp; MaintenanceLang. Instruction Prog.",'17'!$G$83:$G$107)</f>
        <v>0</v>
      </c>
      <c r="G47" s="50">
        <f>SUMIF('17'!$N$118:$N$134,"Operations &amp; MaintenanceLang. Instruction Prog.",'17'!$G$118:$G$134)</f>
        <v>0</v>
      </c>
      <c r="H47" s="50">
        <f>SUMIF('17'!$N$145:$N$169,"Operations &amp; MaintenanceLang. Instruction Prog.",'17'!$G$145:$G$169)</f>
        <v>0</v>
      </c>
      <c r="I47" s="50">
        <f>SUMIF('17'!$N$180:$N$204,"Operations &amp; MaintenanceLang. Instruction Prog.",'17'!$G$180:$G$204)</f>
        <v>0</v>
      </c>
      <c r="J47" s="170">
        <f t="shared" si="0"/>
        <v>0</v>
      </c>
      <c r="K47" s="840"/>
    </row>
    <row r="48" spans="1:11" x14ac:dyDescent="0.2">
      <c r="A48" s="852"/>
      <c r="B48" s="856"/>
      <c r="C48" s="36" t="s">
        <v>131</v>
      </c>
      <c r="D48" s="49">
        <f>SUMIF('17'!$N$14:$N$37,"Operations &amp; MaintenanceParent/Community",'17'!$G$14:$G$37)</f>
        <v>0</v>
      </c>
      <c r="E48" s="50">
        <f>SUMIF('17'!$N$48:$N$72,"Operations &amp; MaintenanceParent/Community",'17'!$G$48:$G$72)</f>
        <v>0</v>
      </c>
      <c r="F48" s="50">
        <f>SUMIF('17'!$N$83:$N$107,"Operations &amp; MaintenanceParent/Community",'17'!$G$83:$G$107)</f>
        <v>0</v>
      </c>
      <c r="G48" s="50">
        <f>SUMIF('17'!$N$118:$N$134,"Operations &amp; MaintenanceParent/Community",'17'!$G$118:$G$134)</f>
        <v>0</v>
      </c>
      <c r="H48" s="50">
        <f>SUMIF('17'!$N$145:$N$169,"Operations &amp; MaintenanceParent/Community",'17'!$G$145:$G$169)</f>
        <v>0</v>
      </c>
      <c r="I48" s="50">
        <f>SUMIF('17'!$N$180:$N$204,"Operations &amp; MaintenanceParent/Community",'17'!$G$180:$G$204)</f>
        <v>0</v>
      </c>
      <c r="J48" s="170">
        <f t="shared" si="0"/>
        <v>0</v>
      </c>
      <c r="K48" s="840"/>
    </row>
    <row r="49" spans="1:11" x14ac:dyDescent="0.2">
      <c r="A49" s="852"/>
      <c r="B49" s="856"/>
      <c r="C49" s="36" t="s">
        <v>133</v>
      </c>
      <c r="D49" s="49">
        <f>SUMIF('17'!$N$14:$N$37,"Operations &amp; MaintenanceEd. Technology",'17'!$G$14:$G$37)</f>
        <v>0</v>
      </c>
      <c r="E49" s="50">
        <f>SUMIF('17'!$N$48:$N$72,"Operations &amp; MaintenanceEd. Technology",'17'!$G$48:$G$72)</f>
        <v>0</v>
      </c>
      <c r="F49" s="50">
        <f>SUMIF('17'!$N$83:$N$107,"Operations &amp; MaintenanceEd. Technology",'17'!$G$83:$G$107)</f>
        <v>0</v>
      </c>
      <c r="G49" s="50">
        <f>SUMIF('17'!$N$118:$N$134,"Operations &amp; MaintenanceEd. Technology",'17'!$G$118:$G$134)</f>
        <v>0</v>
      </c>
      <c r="H49" s="50">
        <f>SUMIF('17'!$N$145:$N$169,"Operations &amp; MaintenanceEd. Technology",'17'!$G$145:$G$169)</f>
        <v>0</v>
      </c>
      <c r="I49" s="50">
        <f>SUMIF('17'!$N$180:$N$204,"Operations &amp; MaintenanceEd. Technology",'17'!$G$180:$G$204)</f>
        <v>0</v>
      </c>
      <c r="J49" s="170">
        <f t="shared" si="0"/>
        <v>0</v>
      </c>
      <c r="K49" s="840"/>
    </row>
    <row r="50" spans="1:11" x14ac:dyDescent="0.2">
      <c r="A50" s="852"/>
      <c r="B50" s="856"/>
      <c r="C50" s="36" t="s">
        <v>108</v>
      </c>
      <c r="D50" s="49">
        <f>SUMIF('17'!$N$14:$N$37,"Operations &amp; MaintenanceEquitable Services",'17'!$G$14:$G$37)</f>
        <v>0</v>
      </c>
      <c r="E50" s="50">
        <f>SUMIF('17'!$N$48:$N$72,"Operations &amp; MaintenanceEquitable Services",'17'!$G$48:$G$72)</f>
        <v>0</v>
      </c>
      <c r="F50" s="50">
        <f>SUMIF('17'!$N$83:$N$107,"Operations &amp; MaintenanceEquitable Services",'17'!$G$83:$G$107)</f>
        <v>0</v>
      </c>
      <c r="G50" s="50">
        <f>SUMIF('17'!$N$118:$N$134,"Operations &amp; MaintenanceEquitable Services",'17'!$G$118:$G$134)</f>
        <v>0</v>
      </c>
      <c r="H50" s="50">
        <f>SUMIF('17'!$N$145:$N$169,"Operations &amp; MaintenanceEquitable Services",'17'!$G$145:$G$169)</f>
        <v>0</v>
      </c>
      <c r="I50" s="50">
        <f>SUMIF('17'!$N$180:$N$204,"Operations &amp; MaintenanceEquitable Services",'17'!$G$180:$G$204)</f>
        <v>0</v>
      </c>
      <c r="J50" s="170">
        <f t="shared" si="0"/>
        <v>0</v>
      </c>
      <c r="K50" s="840"/>
    </row>
    <row r="51" spans="1:11" x14ac:dyDescent="0.2">
      <c r="A51" s="852"/>
      <c r="B51" s="856"/>
      <c r="C51" s="36" t="s">
        <v>52</v>
      </c>
      <c r="D51" s="49">
        <f>SUMIF('17'!$N$14:$N$37,"Operations &amp; MaintenanceOther",'17'!$G$14:$G$37)</f>
        <v>0</v>
      </c>
      <c r="E51" s="50">
        <f>SUMIF('17'!$N$48:$N$72,"Operations &amp; MaintenanceOther",'17'!$G$48:$G$72)</f>
        <v>0</v>
      </c>
      <c r="F51" s="50">
        <f>SUMIF('17'!$N$83:$N$107,"Operations &amp; MaintenanceOther",'17'!$G$83:$G$107)</f>
        <v>0</v>
      </c>
      <c r="G51" s="50">
        <f>SUMIF('17'!$N$118:$N$134,"Operations &amp; MaintenanceOther",'17'!$G$118:$G$134)</f>
        <v>0</v>
      </c>
      <c r="H51" s="50">
        <f>SUMIF('17'!$N$145:$N$169,"Operations &amp; MaintenanceOther",'17'!$G$145:$G$169)</f>
        <v>0</v>
      </c>
      <c r="I51" s="50">
        <f>SUMIF('17'!$N$180:$N$204,"Operations &amp; MaintenanceOther",'17'!$G$180:$G$204)</f>
        <v>0</v>
      </c>
      <c r="J51" s="170">
        <f t="shared" si="0"/>
        <v>0</v>
      </c>
      <c r="K51" s="840"/>
    </row>
    <row r="52" spans="1:11" ht="13.5" thickBot="1" x14ac:dyDescent="0.25">
      <c r="A52" s="852"/>
      <c r="B52" s="945"/>
      <c r="C52" s="37" t="s">
        <v>112</v>
      </c>
      <c r="D52" s="38">
        <f t="shared" ref="D52:I52" si="4">SUM(D42:D51)</f>
        <v>0</v>
      </c>
      <c r="E52" s="38">
        <f t="shared" si="4"/>
        <v>0</v>
      </c>
      <c r="F52" s="38">
        <f t="shared" si="4"/>
        <v>0</v>
      </c>
      <c r="G52" s="38">
        <f t="shared" si="4"/>
        <v>0</v>
      </c>
      <c r="H52" s="38">
        <f t="shared" si="4"/>
        <v>0</v>
      </c>
      <c r="I52" s="38">
        <f t="shared" si="4"/>
        <v>0</v>
      </c>
      <c r="J52" s="41">
        <f t="shared" si="0"/>
        <v>0</v>
      </c>
      <c r="K52" s="840"/>
    </row>
    <row r="53" spans="1:11" ht="12.75" customHeight="1" x14ac:dyDescent="0.2">
      <c r="A53" s="852"/>
      <c r="B53" s="854" t="s">
        <v>95</v>
      </c>
      <c r="C53" s="35" t="s">
        <v>127</v>
      </c>
      <c r="D53" s="47">
        <f>SUMIF('17'!$N$14:$N$37,"Student TransportationEng. Proficiency",'17'!$G$14:$G$37)</f>
        <v>0</v>
      </c>
      <c r="E53" s="48">
        <f>SUMIF('17'!$N$48:$N$72,"Student TransportationEng. Proficiency",'17'!$G$48:$G$72)</f>
        <v>0</v>
      </c>
      <c r="F53" s="48">
        <f>SUMIF('17'!$N$83:$N$107,"Student TransportationEng. Proficiency",'17'!$G$83:$G$107)</f>
        <v>0</v>
      </c>
      <c r="G53" s="48">
        <f>SUMIF('17'!$N$118:$N$134,"Student TransportationEng. Proficiency",'17'!$G$118:$G$134)</f>
        <v>0</v>
      </c>
      <c r="H53" s="48">
        <f>SUMIF('17'!$N$145:$N$169,"Student TransportationEng. Proficiency",'17'!$G$145:$G$169)</f>
        <v>0</v>
      </c>
      <c r="I53" s="48">
        <f>SUMIF('17'!$N$180:$N$204,"Student TransportationEng. Proficiency",'17'!$G$180:$G$204)</f>
        <v>0</v>
      </c>
      <c r="J53" s="169">
        <f t="shared" si="0"/>
        <v>0</v>
      </c>
      <c r="K53" s="840"/>
    </row>
    <row r="54" spans="1:11" x14ac:dyDescent="0.2">
      <c r="A54" s="852"/>
      <c r="B54" s="856"/>
      <c r="C54" s="36" t="s">
        <v>109</v>
      </c>
      <c r="D54" s="49">
        <f>SUMIF('17'!$N$14:$N$37,"Student TransportationProf. Development",'17'!$G$14:$G$37)</f>
        <v>0</v>
      </c>
      <c r="E54" s="50">
        <f>SUMIF('17'!$N$48:$N$72,"Student TransportationProf. Development",'17'!$G$48:$G$72)</f>
        <v>0</v>
      </c>
      <c r="F54" s="50">
        <f>SUMIF('17'!$N$83:$N$107,"Student TransportationProf. Development",'17'!$G$83:$G$107)</f>
        <v>0</v>
      </c>
      <c r="G54" s="50">
        <f>SUMIF('17'!$N$118:$N$134,"Student TransportationProf. Development",'17'!$G$118:$G$134)</f>
        <v>0</v>
      </c>
      <c r="H54" s="50">
        <f>SUMIF('17'!$N$145:$N$169,"Student TransportationProf. Development",'17'!$G$145:$G$169)</f>
        <v>0</v>
      </c>
      <c r="I54" s="50">
        <f>SUMIF('17'!$N$180:$N$204,"Student TransportationProf. Development",'17'!$G$180:$G$204)</f>
        <v>0</v>
      </c>
      <c r="J54" s="170">
        <f t="shared" si="0"/>
        <v>0</v>
      </c>
      <c r="K54" s="840"/>
    </row>
    <row r="55" spans="1:11" x14ac:dyDescent="0.2">
      <c r="A55" s="852"/>
      <c r="B55" s="856"/>
      <c r="C55" s="36" t="s">
        <v>128</v>
      </c>
      <c r="D55" s="49">
        <f>SUMIF('17'!$N$14:$N$37,"Student TransportationObjectives/Strategies",'17'!$G$14:$G$37)</f>
        <v>0</v>
      </c>
      <c r="E55" s="50">
        <f>SUMIF('17'!$N$48:$N$72,"Student TransportationObjectives/Strategies",'17'!$G$48:$G$72)</f>
        <v>0</v>
      </c>
      <c r="F55" s="50">
        <f>SUMIF('17'!$N$83:$N$107,"Student TransportationObjectives/Strategies",'17'!$G$83:$G$107)</f>
        <v>0</v>
      </c>
      <c r="G55" s="50">
        <f>SUMIF('17'!$N$118:$N$134,"Student TransportationObjectives/Strategies",'17'!$G$118:$G$134)</f>
        <v>0</v>
      </c>
      <c r="H55" s="50">
        <f>SUMIF('17'!$N$145:$N$169,"Student TransportationObjectives/Strategies",'17'!$G$145:$G$169)</f>
        <v>0</v>
      </c>
      <c r="I55" s="50">
        <f>SUMIF('17'!$N$180:$N$204,"Student TransportationObjectives/Strategies",'17'!$G$180:$G$204)</f>
        <v>0</v>
      </c>
      <c r="J55" s="170">
        <f t="shared" si="0"/>
        <v>0</v>
      </c>
      <c r="K55" s="840"/>
    </row>
    <row r="56" spans="1:11" x14ac:dyDescent="0.2">
      <c r="A56" s="852"/>
      <c r="B56" s="856"/>
      <c r="C56" s="36" t="s">
        <v>132</v>
      </c>
      <c r="D56" s="49">
        <f>SUMIF('17'!$N$14:$N$37,"Student TransportationCurricula/Materials",'17'!$G$14:$G$37)</f>
        <v>0</v>
      </c>
      <c r="E56" s="50">
        <f>SUMIF('17'!$N$48:$N$72,"Student TransportationCurricula/Materials",'17'!$G$48:$G$72)</f>
        <v>0</v>
      </c>
      <c r="F56" s="50">
        <f>SUMIF('17'!$N$83:$N$107,"Student TransportationCurricula/Materials",'17'!$G$83:$G$107)</f>
        <v>0</v>
      </c>
      <c r="G56" s="50">
        <f>SUMIF('17'!$N$118:$N$134,"Student TransportationCurricula/Materials",'17'!$G$118:$G$134)</f>
        <v>0</v>
      </c>
      <c r="H56" s="50">
        <f>SUMIF('17'!$N$145:$N$169,"Student TransportationCurricula/Materials",'17'!$G$145:$G$169)</f>
        <v>0</v>
      </c>
      <c r="I56" s="50">
        <f>SUMIF('17'!$N$180:$N$204,"Student TransportationCurricula/Materials",'17'!$G$180:$G$204)</f>
        <v>0</v>
      </c>
      <c r="J56" s="170">
        <f t="shared" si="0"/>
        <v>0</v>
      </c>
      <c r="K56" s="840"/>
    </row>
    <row r="57" spans="1:11" x14ac:dyDescent="0.2">
      <c r="A57" s="852"/>
      <c r="B57" s="856"/>
      <c r="C57" s="36" t="s">
        <v>129</v>
      </c>
      <c r="D57" s="49">
        <f>SUMIF('17'!$N$14:$N$37,"Student TransportationTutorials",'17'!$G$14:$G$37)</f>
        <v>0</v>
      </c>
      <c r="E57" s="50">
        <f>SUMIF('17'!$N$48:$N$72,"Student TransportationTutorials",'17'!$G$48:$G$72)</f>
        <v>0</v>
      </c>
      <c r="F57" s="50">
        <f>SUMIF('17'!$N$83:$N$107,"Student TransportationTutorials",'17'!$G$83:$G$107)</f>
        <v>0</v>
      </c>
      <c r="G57" s="50">
        <f>SUMIF('17'!$N$118:$N$134,"Student TransportationTutorials",'17'!$G$118:$G$134)</f>
        <v>0</v>
      </c>
      <c r="H57" s="50">
        <f>SUMIF('17'!$N$145:$N$169,"Student TransportationTutorials",'17'!$G$145:$G$169)</f>
        <v>0</v>
      </c>
      <c r="I57" s="50">
        <f>SUMIF('17'!$N$180:$N$204,"Student TransportationTutorials",'17'!$G$180:$G$204)</f>
        <v>0</v>
      </c>
      <c r="J57" s="170">
        <f t="shared" si="0"/>
        <v>0</v>
      </c>
      <c r="K57" s="840"/>
    </row>
    <row r="58" spans="1:11" x14ac:dyDescent="0.2">
      <c r="A58" s="852"/>
      <c r="B58" s="856"/>
      <c r="C58" s="36" t="s">
        <v>130</v>
      </c>
      <c r="D58" s="49">
        <f>SUMIF('17'!$N$14:$N$37,"Student TransportationLang. Instruction Prog.",'17'!$G$14:$G$37)</f>
        <v>0</v>
      </c>
      <c r="E58" s="50">
        <f>SUMIF('17'!$N$48:$N$72,"Student TransportationLang. Instruction Prog.",'17'!$G$48:$G$72)</f>
        <v>0</v>
      </c>
      <c r="F58" s="50">
        <f>SUMIF('17'!$N$83:$N$107,"Student TransportationLang. Instruction Prog.",'17'!$G$83:$G$107)</f>
        <v>0</v>
      </c>
      <c r="G58" s="50">
        <f>SUMIF('17'!$N$118:$N$134,"Student TransportationLang. Instruction Prog.",'17'!$G$118:$G$134)</f>
        <v>0</v>
      </c>
      <c r="H58" s="50">
        <f>SUMIF('17'!$N$145:$N$169,"Student TransportationLang. Instruction Prog.",'17'!$G$145:$G$169)</f>
        <v>0</v>
      </c>
      <c r="I58" s="50">
        <f>SUMIF('17'!$N$180:$N$204,"Student TransportationLang. Instruction Prog.",'17'!$G$180:$G$204)</f>
        <v>0</v>
      </c>
      <c r="J58" s="170">
        <f t="shared" si="0"/>
        <v>0</v>
      </c>
      <c r="K58" s="840"/>
    </row>
    <row r="59" spans="1:11" x14ac:dyDescent="0.2">
      <c r="A59" s="852"/>
      <c r="B59" s="856"/>
      <c r="C59" s="36" t="s">
        <v>131</v>
      </c>
      <c r="D59" s="49">
        <f>SUMIF('17'!$N$14:$N$37,"Student TransportationParent/Community",'17'!$G$14:$G$37)</f>
        <v>0</v>
      </c>
      <c r="E59" s="50">
        <f>SUMIF('17'!$N$48:$N$72,"Student TransportationParent/Community",'17'!$G$48:$G$72)</f>
        <v>0</v>
      </c>
      <c r="F59" s="50">
        <f>SUMIF('17'!$N$83:$N$107,"Student TransportationParent/Community",'17'!$G$83:$G$107)</f>
        <v>0</v>
      </c>
      <c r="G59" s="50">
        <f>SUMIF('17'!$N$118:$N$134,"Student TransportationParent/Community",'17'!$G$118:$G$134)</f>
        <v>0</v>
      </c>
      <c r="H59" s="50">
        <f>SUMIF('17'!$N$145:$N$169,"Student TransportationParent/Community",'17'!$G$145:$G$169)</f>
        <v>0</v>
      </c>
      <c r="I59" s="50">
        <f>SUMIF('17'!$N$180:$N$204,"Student TransportationParent/Community",'17'!$G$180:$G$204)</f>
        <v>0</v>
      </c>
      <c r="J59" s="170">
        <f t="shared" si="0"/>
        <v>0</v>
      </c>
      <c r="K59" s="840"/>
    </row>
    <row r="60" spans="1:11" x14ac:dyDescent="0.2">
      <c r="A60" s="852"/>
      <c r="B60" s="856"/>
      <c r="C60" s="36" t="s">
        <v>133</v>
      </c>
      <c r="D60" s="49">
        <f>SUMIF('17'!$N$14:$N$37,"Student TransportationEd. Technology",'17'!$G$14:$G$37)</f>
        <v>0</v>
      </c>
      <c r="E60" s="50">
        <f>SUMIF('17'!$N$48:$N$72,"Student TransportationEd. Technology",'17'!$G$48:$G$72)</f>
        <v>0</v>
      </c>
      <c r="F60" s="50">
        <f>SUMIF('17'!$N$83:$N$107,"Student TransportationEd. Technology",'17'!$G$83:$G$107)</f>
        <v>0</v>
      </c>
      <c r="G60" s="50">
        <f>SUMIF('17'!$N$118:$N$134,"Student TransportationEd. Technology",'17'!$G$118:$G$134)</f>
        <v>0</v>
      </c>
      <c r="H60" s="50">
        <f>SUMIF('17'!$N$145:$N$169,"Student TransportationEd. Technology",'17'!$G$145:$G$169)</f>
        <v>0</v>
      </c>
      <c r="I60" s="50">
        <f>SUMIF('17'!$N$180:$N$204,"Student TransportationEd. Technology",'17'!$G$180:$G$204)</f>
        <v>0</v>
      </c>
      <c r="J60" s="170">
        <f t="shared" si="0"/>
        <v>0</v>
      </c>
      <c r="K60" s="840"/>
    </row>
    <row r="61" spans="1:11" x14ac:dyDescent="0.2">
      <c r="A61" s="852"/>
      <c r="B61" s="856"/>
      <c r="C61" s="36" t="s">
        <v>108</v>
      </c>
      <c r="D61" s="49">
        <f>SUMIF('17'!$N$14:$N$37,"Student TransportationEquitable Services",'17'!$G$14:$G$37)</f>
        <v>0</v>
      </c>
      <c r="E61" s="50">
        <f>SUMIF('17'!$N$48:$N$72,"Student TransportationEquitable Services",'17'!$G$48:$G$72)</f>
        <v>0</v>
      </c>
      <c r="F61" s="50">
        <f>SUMIF('17'!$N$83:$N$107,"Student TransportationEquitable Services",'17'!$G$83:$G$107)</f>
        <v>0</v>
      </c>
      <c r="G61" s="50">
        <f>SUMIF('17'!$N$118:$N$134,"Student TransportationEquitable Services",'17'!$G$118:$G$134)</f>
        <v>0</v>
      </c>
      <c r="H61" s="50">
        <f>SUMIF('17'!$N$145:$N$169,"Student TransportationEquitable Services",'17'!$G$145:$G$169)</f>
        <v>0</v>
      </c>
      <c r="I61" s="50">
        <f>SUMIF('17'!$N$180:$N$204,"Student TransportationEquitable Services",'17'!$G$180:$G$204)</f>
        <v>0</v>
      </c>
      <c r="J61" s="170">
        <f t="shared" si="0"/>
        <v>0</v>
      </c>
      <c r="K61" s="840"/>
    </row>
    <row r="62" spans="1:11" x14ac:dyDescent="0.2">
      <c r="A62" s="852"/>
      <c r="B62" s="856"/>
      <c r="C62" s="36" t="s">
        <v>52</v>
      </c>
      <c r="D62" s="49">
        <f>SUMIF('17'!$N$14:$N$37,"Student TransportationOther",'17'!$G$14:$G$37)</f>
        <v>0</v>
      </c>
      <c r="E62" s="50">
        <f>SUMIF('17'!$N$48:$N$72,"Student TransportationOther",'17'!$G$48:$G$72)</f>
        <v>0</v>
      </c>
      <c r="F62" s="50">
        <f>SUMIF('17'!$N$83:$N$107,"Student TransportationOther",'17'!$G$83:$G$107)</f>
        <v>0</v>
      </c>
      <c r="G62" s="50">
        <f>SUMIF('17'!$N$118:$N$134,"Student TransportationOther",'17'!$G$118:$G$134)</f>
        <v>0</v>
      </c>
      <c r="H62" s="50">
        <f>SUMIF('17'!$N$145:$N$169,"Student TransportationOther",'17'!$G$145:$G$169)</f>
        <v>0</v>
      </c>
      <c r="I62" s="50">
        <f>SUMIF('17'!$N$180:$N$204,"Student TransportationOther",'17'!$G$180:$G$204)</f>
        <v>0</v>
      </c>
      <c r="J62" s="170">
        <f t="shared" si="0"/>
        <v>0</v>
      </c>
      <c r="K62" s="840"/>
    </row>
    <row r="63" spans="1:11" ht="13.5" thickBot="1" x14ac:dyDescent="0.25">
      <c r="A63" s="852"/>
      <c r="B63" s="945"/>
      <c r="C63" s="37" t="s">
        <v>112</v>
      </c>
      <c r="D63" s="38">
        <f t="shared" ref="D63:I63" si="5">SUM(D53:D62)</f>
        <v>0</v>
      </c>
      <c r="E63" s="38">
        <f t="shared" si="5"/>
        <v>0</v>
      </c>
      <c r="F63" s="38">
        <f t="shared" si="5"/>
        <v>0</v>
      </c>
      <c r="G63" s="38">
        <f t="shared" si="5"/>
        <v>0</v>
      </c>
      <c r="H63" s="38">
        <f t="shared" si="5"/>
        <v>0</v>
      </c>
      <c r="I63" s="38">
        <f t="shared" si="5"/>
        <v>0</v>
      </c>
      <c r="J63" s="41">
        <f t="shared" si="0"/>
        <v>0</v>
      </c>
      <c r="K63" s="840"/>
    </row>
    <row r="64" spans="1:11" ht="12.75" customHeight="1" x14ac:dyDescent="0.2">
      <c r="A64" s="852"/>
      <c r="B64" s="854" t="s">
        <v>52</v>
      </c>
      <c r="C64" s="35" t="s">
        <v>127</v>
      </c>
      <c r="D64" s="47">
        <f>SUMIF('17'!$N$14:$N$37,"OtherEng. Proficiency",'17'!$G$14:$G$37)</f>
        <v>0</v>
      </c>
      <c r="E64" s="48">
        <f>SUMIF('17'!$N$48:$N$72,"OtherEng. Proficiency",'17'!$G$48:$G$72)</f>
        <v>0</v>
      </c>
      <c r="F64" s="48">
        <f>SUMIF('17'!$N$83:$N$107,"OtherEng. Proficiency",'17'!$G$83:$G$107)</f>
        <v>0</v>
      </c>
      <c r="G64" s="48">
        <f>SUMIF('17'!$N$118:$N$134,"OtherEng. Proficiency",'17'!$G$118:$G$134)</f>
        <v>0</v>
      </c>
      <c r="H64" s="48">
        <f>SUMIF('17'!$N$145:$N$169,"OtherEng. Proficiency",'17'!$G$145:$G$169)</f>
        <v>0</v>
      </c>
      <c r="I64" s="48">
        <f>SUMIF('17'!$N$180:$N$204,"OtherEng. Proficiency",'17'!$G$180:$G$204)</f>
        <v>0</v>
      </c>
      <c r="J64" s="169">
        <f t="shared" si="0"/>
        <v>0</v>
      </c>
      <c r="K64" s="840"/>
    </row>
    <row r="65" spans="1:11" x14ac:dyDescent="0.2">
      <c r="A65" s="852"/>
      <c r="B65" s="856"/>
      <c r="C65" s="36" t="s">
        <v>109</v>
      </c>
      <c r="D65" s="49">
        <f>SUMIF('17'!$N$14:$N$37,"OtherProf. Development",'17'!$G$14:$G$37)</f>
        <v>0</v>
      </c>
      <c r="E65" s="50">
        <f>SUMIF('17'!$N$48:$N$72,"OtherProf. Development",'17'!$G$48:$G$72)</f>
        <v>0</v>
      </c>
      <c r="F65" s="50">
        <f>SUMIF('17'!$N$83:$N$107,"OtherProf. Development",'17'!$G$83:$G$107)</f>
        <v>0</v>
      </c>
      <c r="G65" s="50">
        <f>SUMIF('17'!$N$118:$N$134,"OtherProf. Development",'17'!$G$118:$G$134)</f>
        <v>0</v>
      </c>
      <c r="H65" s="50">
        <f>SUMIF('17'!$N$145:$N$169,"OtherProf. Development",'17'!$G$145:$G$169)</f>
        <v>0</v>
      </c>
      <c r="I65" s="50">
        <f>SUMIF('17'!$N$180:$N$204,"OtherProf. Development",'17'!$G$180:$G$204)</f>
        <v>0</v>
      </c>
      <c r="J65" s="170">
        <f t="shared" si="0"/>
        <v>0</v>
      </c>
      <c r="K65" s="840"/>
    </row>
    <row r="66" spans="1:11" x14ac:dyDescent="0.2">
      <c r="A66" s="852"/>
      <c r="B66" s="856"/>
      <c r="C66" s="36" t="s">
        <v>128</v>
      </c>
      <c r="D66" s="49">
        <f>SUMIF('17'!$N$14:$N$37,"OtherObjectives/Strategies",'17'!$G$14:$G$37)</f>
        <v>0</v>
      </c>
      <c r="E66" s="50">
        <f>SUMIF('17'!$N$48:$N$72,"OtherObjectives/Strategies",'17'!$G$48:$G$72)</f>
        <v>0</v>
      </c>
      <c r="F66" s="50">
        <f>SUMIF('17'!$N$83:$N$107,"OtherObjectives/Strategies",'17'!$G$83:$G$107)</f>
        <v>0</v>
      </c>
      <c r="G66" s="50">
        <f>SUMIF('17'!$N$118:$N$134,"OtherObjectives/Strategies",'17'!$G$118:$G$134)</f>
        <v>0</v>
      </c>
      <c r="H66" s="50">
        <f>SUMIF('17'!$N$145:$N$169,"OtherObjectives/Strategies",'17'!$G$145:$G$169)</f>
        <v>0</v>
      </c>
      <c r="I66" s="50">
        <f>SUMIF('17'!$N$180:$N$204,"OtherObjectives/Strategies",'17'!$G$180:$G$204)</f>
        <v>0</v>
      </c>
      <c r="J66" s="170">
        <f t="shared" si="0"/>
        <v>0</v>
      </c>
      <c r="K66" s="840"/>
    </row>
    <row r="67" spans="1:11" x14ac:dyDescent="0.2">
      <c r="A67" s="852"/>
      <c r="B67" s="856"/>
      <c r="C67" s="36" t="s">
        <v>132</v>
      </c>
      <c r="D67" s="49">
        <f>SUMIF('17'!$N$14:$N$37,"OtherCurricula/Materials",'17'!$G$14:$G$37)</f>
        <v>0</v>
      </c>
      <c r="E67" s="50">
        <f>SUMIF('17'!$N$48:$N$72,"OtherCurricula/Materials",'17'!$G$48:$G$72)</f>
        <v>0</v>
      </c>
      <c r="F67" s="50">
        <f>SUMIF('17'!$N$83:$N$107,"OtherCurricula/Materials",'17'!$G$83:$G$107)</f>
        <v>0</v>
      </c>
      <c r="G67" s="50">
        <f>SUMIF('17'!$N$118:$N$134,"OtherCurricula/Materials",'17'!$G$118:$G$134)</f>
        <v>0</v>
      </c>
      <c r="H67" s="50">
        <f>SUMIF('17'!$N$145:$N$169,"OtherCurricula/Materials",'17'!$G$145:$G$169)</f>
        <v>0</v>
      </c>
      <c r="I67" s="50">
        <f>SUMIF('17'!$N$180:$N$204,"OtherCurricula/Materials",'17'!$G$180:$G$204)</f>
        <v>0</v>
      </c>
      <c r="J67" s="170">
        <f t="shared" si="0"/>
        <v>0</v>
      </c>
      <c r="K67" s="840"/>
    </row>
    <row r="68" spans="1:11" x14ac:dyDescent="0.2">
      <c r="A68" s="852"/>
      <c r="B68" s="856"/>
      <c r="C68" s="36" t="s">
        <v>129</v>
      </c>
      <c r="D68" s="49">
        <f>SUMIF('17'!$N$14:$N$37,"OtherTutorials",'17'!$G$14:$G$37)</f>
        <v>0</v>
      </c>
      <c r="E68" s="50">
        <f>SUMIF('17'!$N$48:$N$72,"OtherTutorials",'17'!$G$48:$G$72)</f>
        <v>0</v>
      </c>
      <c r="F68" s="50">
        <f>SUMIF('17'!$N$83:$N$107,"OtherTutorials",'17'!$G$83:$G$107)</f>
        <v>0</v>
      </c>
      <c r="G68" s="50">
        <f>SUMIF('17'!$N$118:$N$134,"OtherTutorials",'17'!$G$118:$G$134)</f>
        <v>0</v>
      </c>
      <c r="H68" s="50">
        <f>SUMIF('17'!$N$145:$N$169,"OtherTutorials",'17'!$G$145:$G$169)</f>
        <v>0</v>
      </c>
      <c r="I68" s="50">
        <f>SUMIF('17'!$N$180:$N$204,"OtherTutorials",'17'!$G$180:$G$204)</f>
        <v>0</v>
      </c>
      <c r="J68" s="170">
        <f t="shared" si="0"/>
        <v>0</v>
      </c>
      <c r="K68" s="840"/>
    </row>
    <row r="69" spans="1:11" x14ac:dyDescent="0.2">
      <c r="A69" s="852"/>
      <c r="B69" s="856"/>
      <c r="C69" s="36" t="s">
        <v>130</v>
      </c>
      <c r="D69" s="49">
        <f>SUMIF('17'!$N$14:$N$37,"OtherLang. Instruction Prog.",'17'!$G$14:$G$37)</f>
        <v>0</v>
      </c>
      <c r="E69" s="50">
        <f>SUMIF('17'!$N$48:$N$72,"OtherLang. Instruction Prog.",'17'!$G$48:$G$72)</f>
        <v>0</v>
      </c>
      <c r="F69" s="50">
        <f>SUMIF('17'!$N$83:$N$107,"OtherLang. Instruction Prog.",'17'!$G$83:$G$107)</f>
        <v>0</v>
      </c>
      <c r="G69" s="50">
        <f>SUMIF('17'!$N$118:$N$134,"OtherLang. Instruction Prog.",'17'!$G$118:$G$134)</f>
        <v>0</v>
      </c>
      <c r="H69" s="50">
        <f>SUMIF('17'!$N$145:$N$169,"OtherLang. Instruction Prog.",'17'!$G$145:$G$169)</f>
        <v>0</v>
      </c>
      <c r="I69" s="50">
        <f>SUMIF('17'!$N$180:$N$204,"OtherLang. Instruction Prog.",'17'!$G$180:$G$204)</f>
        <v>0</v>
      </c>
      <c r="J69" s="170">
        <f t="shared" si="0"/>
        <v>0</v>
      </c>
      <c r="K69" s="840"/>
    </row>
    <row r="70" spans="1:11" x14ac:dyDescent="0.2">
      <c r="A70" s="852"/>
      <c r="B70" s="856"/>
      <c r="C70" s="36" t="s">
        <v>131</v>
      </c>
      <c r="D70" s="49">
        <f>SUMIF('17'!$N$14:$N$37,"OtherParent/Community",'17'!$G$14:$G$37)</f>
        <v>0</v>
      </c>
      <c r="E70" s="50">
        <f>SUMIF('17'!$N$48:$N$72,"OtherParent/Community",'17'!$G$48:$G$72)</f>
        <v>0</v>
      </c>
      <c r="F70" s="50">
        <f>SUMIF('17'!$N$83:$N$107,"OtherParent/Community",'17'!$G$83:$G$107)</f>
        <v>0</v>
      </c>
      <c r="G70" s="50">
        <f>SUMIF('17'!$N$118:$N$134,"OtherParent/Community",'17'!$G$118:$G$134)</f>
        <v>0</v>
      </c>
      <c r="H70" s="50">
        <f>SUMIF('17'!$N$145:$N$169,"OtherParent/Community",'17'!$G$145:$G$169)</f>
        <v>0</v>
      </c>
      <c r="I70" s="50">
        <f>SUMIF('17'!$N$180:$N$204,"OtherParent/Community",'17'!$G$180:$G$204)</f>
        <v>0</v>
      </c>
      <c r="J70" s="170">
        <f t="shared" si="0"/>
        <v>0</v>
      </c>
      <c r="K70" s="840"/>
    </row>
    <row r="71" spans="1:11" x14ac:dyDescent="0.2">
      <c r="A71" s="852"/>
      <c r="B71" s="856"/>
      <c r="C71" s="36" t="s">
        <v>133</v>
      </c>
      <c r="D71" s="49">
        <f>SUMIF('17'!$N$14:$N$37,"OtherEd. Technology",'17'!$G$14:$G$37)</f>
        <v>0</v>
      </c>
      <c r="E71" s="50">
        <f>SUMIF('17'!$N$48:$N$72,"OtherEd. Technology",'17'!$G$48:$G$72)</f>
        <v>0</v>
      </c>
      <c r="F71" s="50">
        <f>SUMIF('17'!$N$83:$N$107,"OtherEd. Technology",'17'!$G$83:$G$107)</f>
        <v>0</v>
      </c>
      <c r="G71" s="50">
        <f>SUMIF('17'!$N$118:$N$134,"OtherEd. Technology",'17'!$G$118:$G$134)</f>
        <v>0</v>
      </c>
      <c r="H71" s="50">
        <f>SUMIF('17'!$N$145:$N$169,"OtherEd. Technology",'17'!$G$145:$G$169)</f>
        <v>0</v>
      </c>
      <c r="I71" s="50">
        <f>SUMIF('17'!$N$180:$N$204,"OtherEd. Technology",'17'!$G$180:$G$204)</f>
        <v>0</v>
      </c>
      <c r="J71" s="170">
        <f t="shared" si="0"/>
        <v>0</v>
      </c>
      <c r="K71" s="840"/>
    </row>
    <row r="72" spans="1:11" x14ac:dyDescent="0.2">
      <c r="A72" s="852"/>
      <c r="B72" s="856"/>
      <c r="C72" s="36" t="s">
        <v>108</v>
      </c>
      <c r="D72" s="49">
        <f>SUMIF('17'!$N$14:$N$37,"OtherEquitable Services",'17'!$G$14:$G$37)</f>
        <v>0</v>
      </c>
      <c r="E72" s="50">
        <f>SUMIF('17'!$N$48:$N$72,"OtherEquitable Services",'17'!$G$48:$G$72)</f>
        <v>0</v>
      </c>
      <c r="F72" s="50">
        <f>SUMIF('17'!$N$83:$N$107,"OtherEquitable Services",'17'!$G$83:$G$107)</f>
        <v>0</v>
      </c>
      <c r="G72" s="50">
        <f>SUMIF('17'!$N$118:$N$134,"OtherEquitable Services",'17'!$G$118:$G$134)</f>
        <v>0</v>
      </c>
      <c r="H72" s="50">
        <f>SUMIF('17'!$N$145:$N$169,"OtherEquitable Services",'17'!$G$145:$G$169)</f>
        <v>0</v>
      </c>
      <c r="I72" s="50">
        <f>SUMIF('17'!$N$180:$N$204,"OtherEquitable Services",'17'!$G$180:$G$204)</f>
        <v>0</v>
      </c>
      <c r="J72" s="170">
        <f t="shared" si="0"/>
        <v>0</v>
      </c>
      <c r="K72" s="840"/>
    </row>
    <row r="73" spans="1:11" x14ac:dyDescent="0.2">
      <c r="A73" s="852"/>
      <c r="B73" s="856"/>
      <c r="C73" s="36" t="s">
        <v>52</v>
      </c>
      <c r="D73" s="49">
        <f>SUMIF('17'!$N$14:$N$37,"OtherOther",'17'!$G$14:$G$37)</f>
        <v>0</v>
      </c>
      <c r="E73" s="50">
        <f>SUMIF('17'!$N$48:$N$72,"OtherOther",'17'!$G$48:$G$72)</f>
        <v>0</v>
      </c>
      <c r="F73" s="50">
        <f>SUMIF('17'!$N$83:$N$107,"OtherOther",'17'!$G$83:$G$107)</f>
        <v>0</v>
      </c>
      <c r="G73" s="50">
        <f>SUMIF('17'!$N$118:$N$134,"OtherOther",'17'!$G$118:$G$134)</f>
        <v>0</v>
      </c>
      <c r="H73" s="50">
        <f>SUMIF('17'!$N$145:$N$169,"OtherOther",'17'!$G$145:$G$169)</f>
        <v>0</v>
      </c>
      <c r="I73" s="50">
        <f>SUMIF('17'!$N$180:$N$204,"OtherOther",'17'!$G$180:$G$204)</f>
        <v>0</v>
      </c>
      <c r="J73" s="170">
        <f t="shared" si="0"/>
        <v>0</v>
      </c>
      <c r="K73" s="840"/>
    </row>
    <row r="74" spans="1:11" ht="13.5" thickBot="1" x14ac:dyDescent="0.25">
      <c r="A74" s="852"/>
      <c r="B74" s="945"/>
      <c r="C74" s="37" t="s">
        <v>112</v>
      </c>
      <c r="D74" s="38">
        <f t="shared" ref="D74:I74" si="6">SUM(D64:D73)</f>
        <v>0</v>
      </c>
      <c r="E74" s="38">
        <f t="shared" si="6"/>
        <v>0</v>
      </c>
      <c r="F74" s="38">
        <f t="shared" si="6"/>
        <v>0</v>
      </c>
      <c r="G74" s="38">
        <f t="shared" si="6"/>
        <v>0</v>
      </c>
      <c r="H74" s="38">
        <f t="shared" si="6"/>
        <v>0</v>
      </c>
      <c r="I74" s="38">
        <f t="shared" si="6"/>
        <v>0</v>
      </c>
      <c r="J74" s="41">
        <f t="shared" si="0"/>
        <v>0</v>
      </c>
      <c r="K74" s="840"/>
    </row>
    <row r="75" spans="1:11" ht="12.75" customHeight="1" x14ac:dyDescent="0.2">
      <c r="A75" s="852"/>
      <c r="B75" s="858" t="s">
        <v>113</v>
      </c>
      <c r="C75" s="43" t="s">
        <v>127</v>
      </c>
      <c r="D75" s="51">
        <f t="shared" ref="D75:I75" si="7">SUM(D9,D20,D31,D42,D53,D64)</f>
        <v>103950</v>
      </c>
      <c r="E75" s="52">
        <f t="shared" si="7"/>
        <v>0</v>
      </c>
      <c r="F75" s="52">
        <f t="shared" si="7"/>
        <v>0</v>
      </c>
      <c r="G75" s="52">
        <f t="shared" si="7"/>
        <v>0</v>
      </c>
      <c r="H75" s="52">
        <f t="shared" si="7"/>
        <v>0</v>
      </c>
      <c r="I75" s="52">
        <f t="shared" si="7"/>
        <v>0</v>
      </c>
      <c r="J75" s="44">
        <f t="shared" ref="J75:J85" si="8">SUM(D75:I75)</f>
        <v>103950</v>
      </c>
      <c r="K75" s="840"/>
    </row>
    <row r="76" spans="1:11" x14ac:dyDescent="0.2">
      <c r="A76" s="852"/>
      <c r="B76" s="860"/>
      <c r="C76" s="45" t="s">
        <v>109</v>
      </c>
      <c r="D76" s="53">
        <f t="shared" ref="D76:I84" si="9">SUM(D10,D21,D32,D43,D54,D65)</f>
        <v>0</v>
      </c>
      <c r="E76" s="54">
        <f t="shared" si="9"/>
        <v>0</v>
      </c>
      <c r="F76" s="54">
        <f t="shared" si="9"/>
        <v>0</v>
      </c>
      <c r="G76" s="54">
        <f t="shared" si="9"/>
        <v>43922.35</v>
      </c>
      <c r="H76" s="54">
        <f t="shared" si="9"/>
        <v>0</v>
      </c>
      <c r="I76" s="54">
        <f t="shared" si="9"/>
        <v>17077.650000000001</v>
      </c>
      <c r="J76" s="46">
        <f t="shared" si="8"/>
        <v>61000</v>
      </c>
      <c r="K76" s="840"/>
    </row>
    <row r="77" spans="1:11" x14ac:dyDescent="0.2">
      <c r="A77" s="852"/>
      <c r="B77" s="860"/>
      <c r="C77" s="45" t="s">
        <v>128</v>
      </c>
      <c r="D77" s="53">
        <f t="shared" si="9"/>
        <v>0</v>
      </c>
      <c r="E77" s="54">
        <f t="shared" si="9"/>
        <v>0</v>
      </c>
      <c r="F77" s="54">
        <f t="shared" si="9"/>
        <v>0</v>
      </c>
      <c r="G77" s="54">
        <f t="shared" si="9"/>
        <v>0</v>
      </c>
      <c r="H77" s="54">
        <f t="shared" si="9"/>
        <v>0</v>
      </c>
      <c r="I77" s="54">
        <f t="shared" si="9"/>
        <v>0</v>
      </c>
      <c r="J77" s="46">
        <f t="shared" si="8"/>
        <v>0</v>
      </c>
      <c r="K77" s="840"/>
    </row>
    <row r="78" spans="1:11" x14ac:dyDescent="0.2">
      <c r="A78" s="852"/>
      <c r="B78" s="860"/>
      <c r="C78" s="45" t="s">
        <v>132</v>
      </c>
      <c r="D78" s="53">
        <f t="shared" si="9"/>
        <v>10000</v>
      </c>
      <c r="E78" s="54">
        <f t="shared" si="9"/>
        <v>33817.35</v>
      </c>
      <c r="F78" s="54">
        <f t="shared" si="9"/>
        <v>0</v>
      </c>
      <c r="G78" s="54">
        <f t="shared" si="9"/>
        <v>0</v>
      </c>
      <c r="H78" s="54">
        <f t="shared" si="9"/>
        <v>0</v>
      </c>
      <c r="I78" s="54">
        <f t="shared" si="9"/>
        <v>0</v>
      </c>
      <c r="J78" s="46">
        <f t="shared" si="8"/>
        <v>43817.35</v>
      </c>
      <c r="K78" s="840"/>
    </row>
    <row r="79" spans="1:11" x14ac:dyDescent="0.2">
      <c r="A79" s="852"/>
      <c r="B79" s="860"/>
      <c r="C79" s="45" t="s">
        <v>129</v>
      </c>
      <c r="D79" s="53">
        <f t="shared" si="9"/>
        <v>4000</v>
      </c>
      <c r="E79" s="54">
        <f t="shared" si="9"/>
        <v>0</v>
      </c>
      <c r="F79" s="54">
        <f t="shared" si="9"/>
        <v>0</v>
      </c>
      <c r="G79" s="54">
        <f t="shared" si="9"/>
        <v>25000</v>
      </c>
      <c r="H79" s="54">
        <f t="shared" si="9"/>
        <v>0</v>
      </c>
      <c r="I79" s="54">
        <f t="shared" si="9"/>
        <v>0</v>
      </c>
      <c r="J79" s="46">
        <f t="shared" si="8"/>
        <v>29000</v>
      </c>
      <c r="K79" s="840"/>
    </row>
    <row r="80" spans="1:11" x14ac:dyDescent="0.2">
      <c r="A80" s="852"/>
      <c r="B80" s="860"/>
      <c r="C80" s="45" t="s">
        <v>130</v>
      </c>
      <c r="D80" s="53">
        <f t="shared" si="9"/>
        <v>8000</v>
      </c>
      <c r="E80" s="54">
        <f t="shared" si="9"/>
        <v>21000.52</v>
      </c>
      <c r="F80" s="54">
        <f t="shared" si="9"/>
        <v>0</v>
      </c>
      <c r="G80" s="54">
        <f t="shared" si="9"/>
        <v>0</v>
      </c>
      <c r="H80" s="54">
        <f t="shared" si="9"/>
        <v>0</v>
      </c>
      <c r="I80" s="54">
        <f t="shared" si="9"/>
        <v>0</v>
      </c>
      <c r="J80" s="46">
        <f t="shared" si="8"/>
        <v>29000.52</v>
      </c>
      <c r="K80" s="840"/>
    </row>
    <row r="81" spans="1:11" x14ac:dyDescent="0.2">
      <c r="A81" s="852"/>
      <c r="B81" s="860"/>
      <c r="C81" s="45" t="s">
        <v>131</v>
      </c>
      <c r="D81" s="53">
        <f t="shared" si="9"/>
        <v>0</v>
      </c>
      <c r="E81" s="54">
        <f t="shared" si="9"/>
        <v>8000</v>
      </c>
      <c r="F81" s="54">
        <f t="shared" si="9"/>
        <v>0</v>
      </c>
      <c r="G81" s="54">
        <f t="shared" si="9"/>
        <v>21000</v>
      </c>
      <c r="H81" s="54">
        <f t="shared" si="9"/>
        <v>0</v>
      </c>
      <c r="I81" s="54">
        <f t="shared" si="9"/>
        <v>1000</v>
      </c>
      <c r="J81" s="46">
        <f t="shared" si="8"/>
        <v>30000</v>
      </c>
      <c r="K81" s="840"/>
    </row>
    <row r="82" spans="1:11" x14ac:dyDescent="0.2">
      <c r="A82" s="852"/>
      <c r="B82" s="860"/>
      <c r="C82" s="45" t="s">
        <v>133</v>
      </c>
      <c r="D82" s="53">
        <f t="shared" si="9"/>
        <v>0</v>
      </c>
      <c r="E82" s="54">
        <f t="shared" si="9"/>
        <v>0</v>
      </c>
      <c r="F82" s="54">
        <f t="shared" si="9"/>
        <v>0</v>
      </c>
      <c r="G82" s="54">
        <f t="shared" si="9"/>
        <v>51000</v>
      </c>
      <c r="H82" s="54">
        <f t="shared" si="9"/>
        <v>0</v>
      </c>
      <c r="I82" s="54">
        <f t="shared" si="9"/>
        <v>0</v>
      </c>
      <c r="J82" s="46">
        <f t="shared" si="8"/>
        <v>51000</v>
      </c>
      <c r="K82" s="840"/>
    </row>
    <row r="83" spans="1:11" x14ac:dyDescent="0.2">
      <c r="A83" s="852"/>
      <c r="B83" s="860"/>
      <c r="C83" s="45" t="s">
        <v>108</v>
      </c>
      <c r="D83" s="53">
        <f t="shared" si="9"/>
        <v>0</v>
      </c>
      <c r="E83" s="54">
        <f t="shared" si="9"/>
        <v>10000</v>
      </c>
      <c r="F83" s="54">
        <f t="shared" si="9"/>
        <v>0</v>
      </c>
      <c r="G83" s="54">
        <f t="shared" si="9"/>
        <v>6327.65</v>
      </c>
      <c r="H83" s="54">
        <f t="shared" si="9"/>
        <v>0</v>
      </c>
      <c r="I83" s="54">
        <f t="shared" si="9"/>
        <v>0</v>
      </c>
      <c r="J83" s="46">
        <f t="shared" si="8"/>
        <v>16327.65</v>
      </c>
      <c r="K83" s="840"/>
    </row>
    <row r="84" spans="1:11" x14ac:dyDescent="0.2">
      <c r="A84" s="852"/>
      <c r="B84" s="860"/>
      <c r="C84" s="45" t="s">
        <v>52</v>
      </c>
      <c r="D84" s="53">
        <f t="shared" si="9"/>
        <v>0</v>
      </c>
      <c r="E84" s="54">
        <f t="shared" si="9"/>
        <v>0</v>
      </c>
      <c r="F84" s="54">
        <f t="shared" si="9"/>
        <v>0</v>
      </c>
      <c r="G84" s="54">
        <f t="shared" si="9"/>
        <v>0</v>
      </c>
      <c r="H84" s="54">
        <f t="shared" si="9"/>
        <v>0</v>
      </c>
      <c r="I84" s="54">
        <f t="shared" si="9"/>
        <v>0</v>
      </c>
      <c r="J84" s="46">
        <f t="shared" si="8"/>
        <v>0</v>
      </c>
      <c r="K84" s="840"/>
    </row>
    <row r="85" spans="1:11" ht="13.5" thickBot="1" x14ac:dyDescent="0.25">
      <c r="A85" s="853"/>
      <c r="B85" s="946"/>
      <c r="C85" s="39" t="s">
        <v>114</v>
      </c>
      <c r="D85" s="40">
        <f t="shared" ref="D85:I85" si="10">SUM(D75:D84)</f>
        <v>125950</v>
      </c>
      <c r="E85" s="40">
        <f t="shared" si="10"/>
        <v>72817.87</v>
      </c>
      <c r="F85" s="40">
        <f t="shared" si="10"/>
        <v>0</v>
      </c>
      <c r="G85" s="40">
        <f t="shared" si="10"/>
        <v>147250</v>
      </c>
      <c r="H85" s="40">
        <f t="shared" si="10"/>
        <v>0</v>
      </c>
      <c r="I85" s="40">
        <f t="shared" si="10"/>
        <v>18077.650000000001</v>
      </c>
      <c r="J85" s="42">
        <f t="shared" si="8"/>
        <v>364095.52</v>
      </c>
      <c r="K85" s="841"/>
    </row>
    <row r="86" spans="1:11" ht="13.5" thickTop="1" x14ac:dyDescent="0.2"/>
  </sheetData>
  <sheetProtection password="E686" sheet="1" objects="1" scenarios="1"/>
  <mergeCells count="18">
    <mergeCell ref="B42:B52"/>
    <mergeCell ref="B53:B63"/>
    <mergeCell ref="B64:B74"/>
    <mergeCell ref="B75:B85"/>
    <mergeCell ref="A1:C8"/>
    <mergeCell ref="A9:A85"/>
    <mergeCell ref="B9:B19"/>
    <mergeCell ref="B20:B30"/>
    <mergeCell ref="B31:B41"/>
    <mergeCell ref="D1:J4"/>
    <mergeCell ref="K1:K85"/>
    <mergeCell ref="D5:D8"/>
    <mergeCell ref="E5:E8"/>
    <mergeCell ref="F5:F8"/>
    <mergeCell ref="G5:G8"/>
    <mergeCell ref="H5:H8"/>
    <mergeCell ref="I5:I8"/>
    <mergeCell ref="J5:J8"/>
  </mergeCells>
  <conditionalFormatting sqref="K1">
    <cfRule type="cellIs" dxfId="46" priority="1" operator="equal">
      <formula>"The total amount for which you have budgeted does not match the unconsolidated portion of the LEA's Title III, Part A allocation."</formula>
    </cfRule>
  </conditionalFormatting>
  <pageMargins left="0.75" right="0.75" top="1" bottom="1" header="0.5" footer="0.5"/>
  <pageSetup scale="57" orientation="portrait" r:id="rId1"/>
  <headerFooter alignWithMargins="0">
    <oddHeader>&amp;LFFY 2012 Consolidated Application&amp;C&amp;A&amp;R&amp;P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38"/>
  <sheetViews>
    <sheetView topLeftCell="A34" zoomScale="85" zoomScaleNormal="85" workbookViewId="0">
      <selection activeCell="D106" sqref="D106:I109"/>
    </sheetView>
  </sheetViews>
  <sheetFormatPr defaultColWidth="9.140625" defaultRowHeight="12.75" customHeight="1" x14ac:dyDescent="0.2"/>
  <cols>
    <col min="1" max="10" width="15.7109375" style="2" customWidth="1"/>
    <col min="11" max="12" width="0" style="2" hidden="1" customWidth="1"/>
    <col min="13" max="16384" width="9.140625" style="2"/>
  </cols>
  <sheetData>
    <row r="1" spans="1:10" ht="12.75" customHeight="1" thickTop="1" x14ac:dyDescent="0.2">
      <c r="A1" s="1072" t="s">
        <v>256</v>
      </c>
      <c r="B1" s="1073"/>
      <c r="C1" s="1073"/>
      <c r="D1" s="1073"/>
      <c r="E1" s="1073"/>
      <c r="F1" s="1073"/>
      <c r="G1" s="1073"/>
      <c r="H1" s="1073"/>
      <c r="I1" s="1073"/>
      <c r="J1" s="1074"/>
    </row>
    <row r="2" spans="1:10" ht="12.75" customHeight="1" x14ac:dyDescent="0.2">
      <c r="A2" s="1075"/>
      <c r="B2" s="1076"/>
      <c r="C2" s="1076"/>
      <c r="D2" s="1076"/>
      <c r="E2" s="1076"/>
      <c r="F2" s="1076"/>
      <c r="G2" s="1076"/>
      <c r="H2" s="1076"/>
      <c r="I2" s="1076"/>
      <c r="J2" s="1077"/>
    </row>
    <row r="3" spans="1:10" ht="12.75" customHeight="1" x14ac:dyDescent="0.2">
      <c r="A3" s="1054" t="s">
        <v>24</v>
      </c>
      <c r="B3" s="646"/>
      <c r="C3" s="646"/>
      <c r="D3" s="646"/>
      <c r="E3" s="646"/>
      <c r="F3" s="646"/>
      <c r="G3" s="646"/>
      <c r="H3" s="646"/>
      <c r="I3" s="646"/>
      <c r="J3" s="1055"/>
    </row>
    <row r="4" spans="1:10" ht="12.75" customHeight="1" x14ac:dyDescent="0.2">
      <c r="A4" s="1056"/>
      <c r="B4" s="652"/>
      <c r="C4" s="652"/>
      <c r="D4" s="652"/>
      <c r="E4" s="652"/>
      <c r="F4" s="652"/>
      <c r="G4" s="652"/>
      <c r="H4" s="652"/>
      <c r="I4" s="652"/>
      <c r="J4" s="1057"/>
    </row>
    <row r="5" spans="1:10" s="143" customFormat="1" x14ac:dyDescent="0.2">
      <c r="A5" s="161"/>
      <c r="B5" s="160"/>
      <c r="C5" s="157"/>
      <c r="D5" s="159"/>
      <c r="E5" s="159"/>
      <c r="F5" s="159"/>
      <c r="G5" s="159"/>
      <c r="H5" s="158"/>
      <c r="I5" s="157"/>
      <c r="J5" s="156"/>
    </row>
    <row r="6" spans="1:10" s="143" customFormat="1" ht="25.5" customHeight="1" x14ac:dyDescent="0.2">
      <c r="A6" s="730" t="s">
        <v>108</v>
      </c>
      <c r="B6" s="731"/>
      <c r="C6" s="731"/>
      <c r="D6" s="731"/>
      <c r="E6" s="731"/>
      <c r="F6" s="731"/>
      <c r="G6" s="731"/>
      <c r="H6" s="731"/>
      <c r="I6" s="731"/>
      <c r="J6" s="732"/>
    </row>
    <row r="7" spans="1:10" x14ac:dyDescent="0.2">
      <c r="A7" s="142"/>
      <c r="B7" s="141"/>
      <c r="C7" s="141"/>
      <c r="D7" s="141"/>
      <c r="E7" s="141"/>
      <c r="F7" s="141"/>
      <c r="G7" s="141"/>
      <c r="H7" s="141"/>
      <c r="I7" s="141"/>
      <c r="J7" s="140"/>
    </row>
    <row r="8" spans="1:10" ht="18.75" customHeight="1" x14ac:dyDescent="0.25">
      <c r="A8" s="139"/>
      <c r="B8" s="1078" t="s">
        <v>230</v>
      </c>
      <c r="C8" s="1078"/>
      <c r="D8" s="1078"/>
      <c r="E8" s="1078"/>
      <c r="F8" s="1078"/>
      <c r="G8" s="1078"/>
      <c r="H8" s="1078"/>
      <c r="I8" s="1078"/>
      <c r="J8" s="1079"/>
    </row>
    <row r="9" spans="1:10" ht="12.75" customHeight="1" x14ac:dyDescent="0.2">
      <c r="A9" s="135"/>
      <c r="B9" s="138"/>
      <c r="C9" s="133"/>
      <c r="D9" s="133"/>
      <c r="E9" s="133"/>
      <c r="F9" s="133"/>
      <c r="G9" s="133"/>
      <c r="H9" s="133"/>
      <c r="I9" s="133"/>
      <c r="J9" s="137"/>
    </row>
    <row r="10" spans="1:10" ht="12.75" customHeight="1" x14ac:dyDescent="0.2">
      <c r="A10" s="135"/>
      <c r="B10" s="1080" t="s">
        <v>239</v>
      </c>
      <c r="C10" s="1080"/>
      <c r="D10" s="133"/>
      <c r="E10" s="133"/>
      <c r="F10" s="133"/>
      <c r="G10" s="133"/>
      <c r="H10" s="133"/>
      <c r="I10" s="133"/>
      <c r="J10" s="137"/>
    </row>
    <row r="11" spans="1:10" ht="12.6" customHeight="1" thickBot="1" x14ac:dyDescent="0.25">
      <c r="A11" s="135"/>
      <c r="B11" s="155"/>
      <c r="C11" s="155"/>
      <c r="D11" s="133"/>
      <c r="E11" s="133"/>
      <c r="F11" s="133"/>
      <c r="G11" s="133"/>
      <c r="H11" s="133"/>
      <c r="I11" s="133"/>
      <c r="J11" s="137"/>
    </row>
    <row r="12" spans="1:10" ht="16.899999999999999" customHeight="1" thickBot="1" x14ac:dyDescent="0.25">
      <c r="A12" s="135"/>
      <c r="B12" s="136" t="s">
        <v>23</v>
      </c>
      <c r="C12" s="133"/>
      <c r="D12" s="1071" t="s">
        <v>231</v>
      </c>
      <c r="E12" s="1071"/>
      <c r="F12" s="1071"/>
      <c r="G12" s="1071"/>
      <c r="H12" s="1071"/>
      <c r="I12" s="1071"/>
      <c r="J12" s="132"/>
    </row>
    <row r="13" spans="1:10" ht="12.75" customHeight="1" x14ac:dyDescent="0.2">
      <c r="A13" s="135"/>
      <c r="B13" s="134"/>
      <c r="C13" s="133"/>
      <c r="D13" s="1071"/>
      <c r="E13" s="1071"/>
      <c r="F13" s="1071"/>
      <c r="G13" s="1071"/>
      <c r="H13" s="1071"/>
      <c r="I13" s="1071"/>
      <c r="J13" s="132"/>
    </row>
    <row r="14" spans="1:10" ht="12.75" customHeight="1" x14ac:dyDescent="0.2">
      <c r="A14" s="135"/>
      <c r="B14" s="144"/>
      <c r="C14" s="133"/>
      <c r="D14" s="1071"/>
      <c r="E14" s="1071"/>
      <c r="F14" s="1071"/>
      <c r="G14" s="1071"/>
      <c r="H14" s="1071"/>
      <c r="I14" s="1071"/>
      <c r="J14" s="132"/>
    </row>
    <row r="15" spans="1:10" ht="12.75" customHeight="1" x14ac:dyDescent="0.2">
      <c r="A15" s="135"/>
      <c r="B15" s="144"/>
      <c r="C15" s="133"/>
      <c r="D15" s="1071"/>
      <c r="E15" s="1071"/>
      <c r="F15" s="1071"/>
      <c r="G15" s="1071"/>
      <c r="H15" s="1071"/>
      <c r="I15" s="1071"/>
      <c r="J15" s="132"/>
    </row>
    <row r="16" spans="1:10" ht="12.75" customHeight="1" x14ac:dyDescent="0.2">
      <c r="A16" s="135"/>
      <c r="B16" s="144"/>
      <c r="C16" s="133"/>
      <c r="D16" s="1071"/>
      <c r="E16" s="1071"/>
      <c r="F16" s="1071"/>
      <c r="G16" s="1071"/>
      <c r="H16" s="1071"/>
      <c r="I16" s="1071"/>
      <c r="J16" s="132"/>
    </row>
    <row r="17" spans="1:10" x14ac:dyDescent="0.2">
      <c r="A17" s="135"/>
      <c r="B17" s="134"/>
      <c r="C17" s="133"/>
      <c r="D17" s="144"/>
      <c r="E17" s="144"/>
      <c r="F17" s="144"/>
      <c r="G17" s="144"/>
      <c r="H17" s="144"/>
      <c r="I17" s="144"/>
      <c r="J17" s="132"/>
    </row>
    <row r="18" spans="1:10" ht="12.75" customHeight="1" thickBot="1" x14ac:dyDescent="0.25">
      <c r="A18" s="135"/>
      <c r="B18" s="144"/>
      <c r="C18" s="133"/>
      <c r="D18" s="1067" t="s">
        <v>232</v>
      </c>
      <c r="E18" s="1067"/>
      <c r="F18" s="1067"/>
      <c r="G18" s="1067"/>
      <c r="H18" s="1067"/>
      <c r="I18" s="154"/>
      <c r="J18" s="153"/>
    </row>
    <row r="19" spans="1:10" ht="13.5" thickBot="1" x14ac:dyDescent="0.25">
      <c r="A19" s="135"/>
      <c r="B19" s="134"/>
      <c r="C19" s="133"/>
      <c r="D19" s="1068" t="s">
        <v>844</v>
      </c>
      <c r="E19" s="1069"/>
      <c r="F19" s="1069"/>
      <c r="G19" s="1069"/>
      <c r="H19" s="1069"/>
      <c r="I19" s="1070"/>
      <c r="J19" s="132"/>
    </row>
    <row r="20" spans="1:10" ht="12.75" customHeight="1" x14ac:dyDescent="0.2">
      <c r="A20" s="135"/>
      <c r="B20" s="144"/>
      <c r="C20" s="133"/>
      <c r="D20" s="1071" t="s">
        <v>233</v>
      </c>
      <c r="E20" s="1071"/>
      <c r="F20" s="1071"/>
      <c r="G20" s="1071"/>
      <c r="H20" s="1071"/>
      <c r="I20" s="1071"/>
      <c r="J20" s="132"/>
    </row>
    <row r="21" spans="1:10" ht="13.5" thickBot="1" x14ac:dyDescent="0.25">
      <c r="A21" s="135"/>
      <c r="B21" s="134"/>
      <c r="C21" s="133"/>
      <c r="D21" s="152"/>
      <c r="E21" s="133"/>
      <c r="F21" s="133"/>
      <c r="G21" s="133"/>
      <c r="H21" s="133"/>
      <c r="I21" s="133"/>
      <c r="J21" s="137"/>
    </row>
    <row r="22" spans="1:10" ht="12.75" customHeight="1" thickBot="1" x14ac:dyDescent="0.25">
      <c r="A22" s="135"/>
      <c r="B22" s="136" t="s">
        <v>23</v>
      </c>
      <c r="C22" s="133"/>
      <c r="D22" s="1071" t="s">
        <v>234</v>
      </c>
      <c r="E22" s="1071"/>
      <c r="F22" s="1071"/>
      <c r="G22" s="1071"/>
      <c r="H22" s="1071"/>
      <c r="I22" s="1071"/>
      <c r="J22" s="132"/>
    </row>
    <row r="23" spans="1:10" x14ac:dyDescent="0.2">
      <c r="A23" s="135"/>
      <c r="B23" s="134"/>
      <c r="C23" s="133"/>
      <c r="D23" s="1071"/>
      <c r="E23" s="1071"/>
      <c r="F23" s="1071"/>
      <c r="G23" s="1071"/>
      <c r="H23" s="1071"/>
      <c r="I23" s="1071"/>
      <c r="J23" s="132"/>
    </row>
    <row r="24" spans="1:10" ht="13.5" thickBot="1" x14ac:dyDescent="0.25">
      <c r="A24" s="135"/>
      <c r="B24" s="134"/>
      <c r="C24" s="133"/>
      <c r="D24" s="144"/>
      <c r="E24" s="144"/>
      <c r="F24" s="144"/>
      <c r="G24" s="144"/>
      <c r="H24" s="144"/>
      <c r="I24" s="144"/>
      <c r="J24" s="132"/>
    </row>
    <row r="25" spans="1:10" ht="12.75" customHeight="1" thickBot="1" x14ac:dyDescent="0.25">
      <c r="A25" s="135"/>
      <c r="B25" s="151" t="s">
        <v>23</v>
      </c>
      <c r="C25" s="133"/>
      <c r="D25" s="1067" t="s">
        <v>235</v>
      </c>
      <c r="E25" s="1067"/>
      <c r="F25" s="1067"/>
      <c r="G25" s="1067"/>
      <c r="H25" s="1067"/>
      <c r="I25" s="1067"/>
      <c r="J25" s="153"/>
    </row>
    <row r="26" spans="1:10" ht="12.75" customHeight="1" x14ac:dyDescent="0.2">
      <c r="A26" s="135"/>
      <c r="B26" s="134"/>
      <c r="C26" s="133"/>
      <c r="D26" s="1067"/>
      <c r="E26" s="1067"/>
      <c r="F26" s="1067"/>
      <c r="G26" s="1067"/>
      <c r="H26" s="1067"/>
      <c r="I26" s="1067"/>
      <c r="J26" s="153"/>
    </row>
    <row r="27" spans="1:10" x14ac:dyDescent="0.2">
      <c r="A27" s="135"/>
      <c r="B27" s="134"/>
      <c r="C27" s="133"/>
      <c r="D27" s="1067"/>
      <c r="E27" s="1067"/>
      <c r="F27" s="1067"/>
      <c r="G27" s="1067"/>
      <c r="H27" s="1067"/>
      <c r="I27" s="1067"/>
      <c r="J27" s="132"/>
    </row>
    <row r="28" spans="1:10" x14ac:dyDescent="0.2">
      <c r="A28" s="135"/>
      <c r="B28" s="134"/>
      <c r="C28" s="133"/>
      <c r="D28" s="154"/>
      <c r="E28" s="154"/>
      <c r="F28" s="154"/>
      <c r="G28" s="154"/>
      <c r="H28" s="154"/>
      <c r="I28" s="154"/>
      <c r="J28" s="132"/>
    </row>
    <row r="29" spans="1:10" s="143" customFormat="1" ht="12.75" customHeight="1" x14ac:dyDescent="0.2">
      <c r="A29" s="150"/>
      <c r="B29" s="1081" t="s">
        <v>243</v>
      </c>
      <c r="C29" s="1081"/>
      <c r="D29" s="1081"/>
      <c r="E29" s="1081"/>
      <c r="F29" s="1082">
        <v>1441986.63</v>
      </c>
      <c r="G29" s="1082"/>
      <c r="H29" s="1082"/>
      <c r="I29" s="1082"/>
      <c r="J29" s="1083"/>
    </row>
    <row r="30" spans="1:10" ht="12.75" customHeight="1" x14ac:dyDescent="0.2">
      <c r="A30" s="135"/>
      <c r="B30" s="1084" t="s">
        <v>148</v>
      </c>
      <c r="C30" s="1084"/>
      <c r="D30" s="1084"/>
      <c r="E30" s="1084"/>
      <c r="F30" s="1084"/>
      <c r="G30" s="1084"/>
      <c r="H30" s="1084"/>
      <c r="I30" s="1084"/>
      <c r="J30" s="1085"/>
    </row>
    <row r="31" spans="1:10" ht="12.75" customHeight="1" x14ac:dyDescent="0.2">
      <c r="A31" s="135"/>
      <c r="B31" s="1084"/>
      <c r="C31" s="1084"/>
      <c r="D31" s="1084"/>
      <c r="E31" s="1084"/>
      <c r="F31" s="1084"/>
      <c r="G31" s="1084"/>
      <c r="H31" s="1084"/>
      <c r="I31" s="1084"/>
      <c r="J31" s="1085"/>
    </row>
    <row r="32" spans="1:10" ht="12.75" customHeight="1" x14ac:dyDescent="0.2">
      <c r="A32" s="135"/>
      <c r="B32" s="1086" t="s">
        <v>1036</v>
      </c>
      <c r="C32" s="1087"/>
      <c r="D32" s="1087"/>
      <c r="E32" s="1087"/>
      <c r="F32" s="1087"/>
      <c r="G32" s="1087"/>
      <c r="H32" s="1087"/>
      <c r="I32" s="1087"/>
      <c r="J32" s="1088"/>
    </row>
    <row r="33" spans="1:10" ht="12.75" customHeight="1" x14ac:dyDescent="0.2">
      <c r="A33" s="135"/>
      <c r="B33" s="1089"/>
      <c r="C33" s="1090"/>
      <c r="D33" s="1090"/>
      <c r="E33" s="1090"/>
      <c r="F33" s="1090"/>
      <c r="G33" s="1090"/>
      <c r="H33" s="1090"/>
      <c r="I33" s="1090"/>
      <c r="J33" s="1091"/>
    </row>
    <row r="34" spans="1:10" ht="12.75" customHeight="1" x14ac:dyDescent="0.2">
      <c r="A34" s="135"/>
      <c r="B34" s="1089"/>
      <c r="C34" s="1090"/>
      <c r="D34" s="1090"/>
      <c r="E34" s="1090"/>
      <c r="F34" s="1090"/>
      <c r="G34" s="1090"/>
      <c r="H34" s="1090"/>
      <c r="I34" s="1090"/>
      <c r="J34" s="1091"/>
    </row>
    <row r="35" spans="1:10" ht="12.75" customHeight="1" x14ac:dyDescent="0.2">
      <c r="A35" s="135"/>
      <c r="B35" s="1089"/>
      <c r="C35" s="1090"/>
      <c r="D35" s="1090"/>
      <c r="E35" s="1090"/>
      <c r="F35" s="1090"/>
      <c r="G35" s="1090"/>
      <c r="H35" s="1090"/>
      <c r="I35" s="1090"/>
      <c r="J35" s="1091"/>
    </row>
    <row r="36" spans="1:10" ht="12.75" customHeight="1" x14ac:dyDescent="0.2">
      <c r="A36" s="135"/>
      <c r="B36" s="1089"/>
      <c r="C36" s="1090"/>
      <c r="D36" s="1090"/>
      <c r="E36" s="1090"/>
      <c r="F36" s="1090"/>
      <c r="G36" s="1090"/>
      <c r="H36" s="1090"/>
      <c r="I36" s="1090"/>
      <c r="J36" s="1091"/>
    </row>
    <row r="37" spans="1:10" ht="12.75" customHeight="1" x14ac:dyDescent="0.2">
      <c r="A37" s="135"/>
      <c r="B37" s="1089"/>
      <c r="C37" s="1090"/>
      <c r="D37" s="1090"/>
      <c r="E37" s="1090"/>
      <c r="F37" s="1090"/>
      <c r="G37" s="1090"/>
      <c r="H37" s="1090"/>
      <c r="I37" s="1090"/>
      <c r="J37" s="1091"/>
    </row>
    <row r="38" spans="1:10" ht="12.75" customHeight="1" x14ac:dyDescent="0.2">
      <c r="A38" s="135"/>
      <c r="B38" s="1089"/>
      <c r="C38" s="1090"/>
      <c r="D38" s="1090"/>
      <c r="E38" s="1090"/>
      <c r="F38" s="1090"/>
      <c r="G38" s="1090"/>
      <c r="H38" s="1090"/>
      <c r="I38" s="1090"/>
      <c r="J38" s="1091"/>
    </row>
    <row r="39" spans="1:10" ht="12.75" customHeight="1" x14ac:dyDescent="0.2">
      <c r="A39" s="135"/>
      <c r="B39" s="1089"/>
      <c r="C39" s="1090"/>
      <c r="D39" s="1090"/>
      <c r="E39" s="1090"/>
      <c r="F39" s="1090"/>
      <c r="G39" s="1090"/>
      <c r="H39" s="1090"/>
      <c r="I39" s="1090"/>
      <c r="J39" s="1091"/>
    </row>
    <row r="40" spans="1:10" ht="12.75" customHeight="1" x14ac:dyDescent="0.2">
      <c r="A40" s="135"/>
      <c r="B40" s="1089"/>
      <c r="C40" s="1090"/>
      <c r="D40" s="1090"/>
      <c r="E40" s="1090"/>
      <c r="F40" s="1090"/>
      <c r="G40" s="1090"/>
      <c r="H40" s="1090"/>
      <c r="I40" s="1090"/>
      <c r="J40" s="1091"/>
    </row>
    <row r="41" spans="1:10" ht="12.75" customHeight="1" x14ac:dyDescent="0.2">
      <c r="A41" s="135"/>
      <c r="B41" s="1092"/>
      <c r="C41" s="1093"/>
      <c r="D41" s="1093"/>
      <c r="E41" s="1093"/>
      <c r="F41" s="1093"/>
      <c r="G41" s="1093"/>
      <c r="H41" s="1093"/>
      <c r="I41" s="1093"/>
      <c r="J41" s="1094"/>
    </row>
    <row r="42" spans="1:10" ht="12.75" customHeight="1" x14ac:dyDescent="0.2">
      <c r="A42" s="135"/>
      <c r="B42" s="133"/>
      <c r="C42" s="133"/>
      <c r="D42" s="133"/>
      <c r="E42" s="133"/>
      <c r="F42" s="133"/>
      <c r="G42" s="133"/>
      <c r="H42" s="133"/>
      <c r="I42" s="133"/>
      <c r="J42" s="137"/>
    </row>
    <row r="43" spans="1:10" ht="12.75" customHeight="1" x14ac:dyDescent="0.2">
      <c r="A43" s="135"/>
      <c r="B43" s="1080" t="s">
        <v>241</v>
      </c>
      <c r="C43" s="1080"/>
      <c r="D43" s="133"/>
      <c r="E43" s="133"/>
      <c r="F43" s="133"/>
      <c r="G43" s="133"/>
      <c r="H43" s="133"/>
      <c r="I43" s="133"/>
      <c r="J43" s="137"/>
    </row>
    <row r="44" spans="1:10" ht="12.75" customHeight="1" thickBot="1" x14ac:dyDescent="0.25">
      <c r="A44" s="135"/>
      <c r="B44" s="155"/>
      <c r="C44" s="155"/>
      <c r="D44" s="133"/>
      <c r="E44" s="133"/>
      <c r="F44" s="133"/>
      <c r="G44" s="133"/>
      <c r="H44" s="133"/>
      <c r="I44" s="133"/>
      <c r="J44" s="137"/>
    </row>
    <row r="45" spans="1:10" ht="12.75" customHeight="1" thickBot="1" x14ac:dyDescent="0.25">
      <c r="A45" s="135"/>
      <c r="B45" s="136" t="s">
        <v>23</v>
      </c>
      <c r="C45" s="133"/>
      <c r="D45" s="1071" t="s">
        <v>237</v>
      </c>
      <c r="E45" s="1071"/>
      <c r="F45" s="1071"/>
      <c r="G45" s="1071"/>
      <c r="H45" s="1071"/>
      <c r="I45" s="1071"/>
      <c r="J45" s="132"/>
    </row>
    <row r="46" spans="1:10" ht="12.75" customHeight="1" x14ac:dyDescent="0.2">
      <c r="A46" s="135"/>
      <c r="B46" s="134"/>
      <c r="C46" s="133"/>
      <c r="D46" s="1071"/>
      <c r="E46" s="1071"/>
      <c r="F46" s="1071"/>
      <c r="G46" s="1071"/>
      <c r="H46" s="1071"/>
      <c r="I46" s="1071"/>
      <c r="J46" s="132"/>
    </row>
    <row r="47" spans="1:10" ht="12.75" customHeight="1" x14ac:dyDescent="0.2">
      <c r="A47" s="135"/>
      <c r="B47" s="144"/>
      <c r="C47" s="133"/>
      <c r="D47" s="1071"/>
      <c r="E47" s="1071"/>
      <c r="F47" s="1071"/>
      <c r="G47" s="1071"/>
      <c r="H47" s="1071"/>
      <c r="I47" s="1071"/>
      <c r="J47" s="132"/>
    </row>
    <row r="48" spans="1:10" ht="12.75" customHeight="1" x14ac:dyDescent="0.2">
      <c r="A48" s="135"/>
      <c r="B48" s="144"/>
      <c r="C48" s="133"/>
      <c r="D48" s="1071"/>
      <c r="E48" s="1071"/>
      <c r="F48" s="1071"/>
      <c r="G48" s="1071"/>
      <c r="H48" s="1071"/>
      <c r="I48" s="1071"/>
      <c r="J48" s="132"/>
    </row>
    <row r="49" spans="1:10" ht="18.600000000000001" customHeight="1" x14ac:dyDescent="0.2">
      <c r="A49" s="135"/>
      <c r="B49" s="144"/>
      <c r="C49" s="133"/>
      <c r="D49" s="1071"/>
      <c r="E49" s="1071"/>
      <c r="F49" s="1071"/>
      <c r="G49" s="1071"/>
      <c r="H49" s="1071"/>
      <c r="I49" s="1071"/>
      <c r="J49" s="132"/>
    </row>
    <row r="50" spans="1:10" ht="12.75" customHeight="1" x14ac:dyDescent="0.2">
      <c r="A50" s="135"/>
      <c r="B50" s="144"/>
      <c r="C50" s="133"/>
      <c r="D50" s="144"/>
      <c r="E50" s="144"/>
      <c r="F50" s="144"/>
      <c r="G50" s="144"/>
      <c r="H50" s="144"/>
      <c r="I50" s="144"/>
      <c r="J50" s="132"/>
    </row>
    <row r="51" spans="1:10" ht="12.75" customHeight="1" thickBot="1" x14ac:dyDescent="0.25">
      <c r="A51" s="135"/>
      <c r="B51" s="144"/>
      <c r="C51" s="133"/>
      <c r="D51" s="1067" t="s">
        <v>232</v>
      </c>
      <c r="E51" s="1067"/>
      <c r="F51" s="1067"/>
      <c r="G51" s="1067"/>
      <c r="H51" s="1067"/>
      <c r="I51" s="154"/>
      <c r="J51" s="153"/>
    </row>
    <row r="52" spans="1:10" ht="13.5" thickBot="1" x14ac:dyDescent="0.25">
      <c r="A52" s="135"/>
      <c r="B52" s="134"/>
      <c r="C52" s="133"/>
      <c r="D52" s="1068" t="s">
        <v>844</v>
      </c>
      <c r="E52" s="1069"/>
      <c r="F52" s="1069"/>
      <c r="G52" s="1069"/>
      <c r="H52" s="1069"/>
      <c r="I52" s="1070"/>
      <c r="J52" s="132"/>
    </row>
    <row r="53" spans="1:10" ht="12.75" customHeight="1" x14ac:dyDescent="0.2">
      <c r="A53" s="135"/>
      <c r="B53" s="144"/>
      <c r="C53" s="133"/>
      <c r="D53" s="1071" t="s">
        <v>233</v>
      </c>
      <c r="E53" s="1071"/>
      <c r="F53" s="1071"/>
      <c r="G53" s="1071"/>
      <c r="H53" s="1071"/>
      <c r="I53" s="1071"/>
      <c r="J53" s="132"/>
    </row>
    <row r="54" spans="1:10" ht="13.5" thickBot="1" x14ac:dyDescent="0.25">
      <c r="A54" s="135"/>
      <c r="B54" s="134"/>
      <c r="C54" s="133"/>
      <c r="D54" s="152"/>
      <c r="E54" s="133"/>
      <c r="F54" s="133"/>
      <c r="G54" s="133"/>
      <c r="H54" s="133"/>
      <c r="I54" s="133"/>
      <c r="J54" s="137"/>
    </row>
    <row r="55" spans="1:10" ht="12.75" customHeight="1" thickBot="1" x14ac:dyDescent="0.25">
      <c r="A55" s="135"/>
      <c r="B55" s="151" t="s">
        <v>23</v>
      </c>
      <c r="C55" s="133"/>
      <c r="D55" s="1071" t="s">
        <v>236</v>
      </c>
      <c r="E55" s="1071"/>
      <c r="F55" s="1071"/>
      <c r="G55" s="1071"/>
      <c r="H55" s="1071"/>
      <c r="I55" s="1071"/>
      <c r="J55" s="132"/>
    </row>
    <row r="56" spans="1:10" x14ac:dyDescent="0.2">
      <c r="A56" s="135"/>
      <c r="B56" s="134"/>
      <c r="C56" s="133"/>
      <c r="D56" s="1071"/>
      <c r="E56" s="1071"/>
      <c r="F56" s="1071"/>
      <c r="G56" s="1071"/>
      <c r="H56" s="1071"/>
      <c r="I56" s="1071"/>
      <c r="J56" s="137"/>
    </row>
    <row r="57" spans="1:10" x14ac:dyDescent="0.2">
      <c r="A57" s="135"/>
      <c r="B57" s="134"/>
      <c r="C57" s="133"/>
      <c r="D57" s="144"/>
      <c r="E57" s="144"/>
      <c r="F57" s="144"/>
      <c r="G57" s="144"/>
      <c r="H57" s="144"/>
      <c r="I57" s="144"/>
      <c r="J57" s="137"/>
    </row>
    <row r="58" spans="1:10" s="143" customFormat="1" ht="12.75" customHeight="1" x14ac:dyDescent="0.2">
      <c r="A58" s="150"/>
      <c r="B58" s="1081" t="s">
        <v>244</v>
      </c>
      <c r="C58" s="1081"/>
      <c r="D58" s="1081"/>
      <c r="E58" s="1081"/>
      <c r="F58" s="1082">
        <v>1010439.8</v>
      </c>
      <c r="G58" s="1082"/>
      <c r="H58" s="1082"/>
      <c r="I58" s="1082"/>
      <c r="J58" s="1083"/>
    </row>
    <row r="59" spans="1:10" ht="12.75" customHeight="1" x14ac:dyDescent="0.2">
      <c r="A59" s="135"/>
      <c r="B59" s="1084" t="s">
        <v>245</v>
      </c>
      <c r="C59" s="1084"/>
      <c r="D59" s="1084"/>
      <c r="E59" s="1084"/>
      <c r="F59" s="1084"/>
      <c r="G59" s="1084"/>
      <c r="H59" s="1084"/>
      <c r="I59" s="1084"/>
      <c r="J59" s="1085"/>
    </row>
    <row r="60" spans="1:10" ht="12.75" customHeight="1" x14ac:dyDescent="0.2">
      <c r="A60" s="135"/>
      <c r="B60" s="1084"/>
      <c r="C60" s="1084"/>
      <c r="D60" s="1084"/>
      <c r="E60" s="1084"/>
      <c r="F60" s="1084"/>
      <c r="G60" s="1084"/>
      <c r="H60" s="1084"/>
      <c r="I60" s="1084"/>
      <c r="J60" s="1085"/>
    </row>
    <row r="61" spans="1:10" ht="12.75" customHeight="1" x14ac:dyDescent="0.2">
      <c r="A61" s="135"/>
      <c r="B61" s="1086" t="s">
        <v>1037</v>
      </c>
      <c r="C61" s="1087"/>
      <c r="D61" s="1087"/>
      <c r="E61" s="1087"/>
      <c r="F61" s="1087"/>
      <c r="G61" s="1087"/>
      <c r="H61" s="1087"/>
      <c r="I61" s="1087"/>
      <c r="J61" s="1088"/>
    </row>
    <row r="62" spans="1:10" ht="12.75" customHeight="1" x14ac:dyDescent="0.2">
      <c r="A62" s="135"/>
      <c r="B62" s="1089"/>
      <c r="C62" s="1090"/>
      <c r="D62" s="1090"/>
      <c r="E62" s="1090"/>
      <c r="F62" s="1090"/>
      <c r="G62" s="1090"/>
      <c r="H62" s="1090"/>
      <c r="I62" s="1090"/>
      <c r="J62" s="1091"/>
    </row>
    <row r="63" spans="1:10" ht="12.75" customHeight="1" x14ac:dyDescent="0.2">
      <c r="A63" s="135"/>
      <c r="B63" s="1089"/>
      <c r="C63" s="1090"/>
      <c r="D63" s="1090"/>
      <c r="E63" s="1090"/>
      <c r="F63" s="1090"/>
      <c r="G63" s="1090"/>
      <c r="H63" s="1090"/>
      <c r="I63" s="1090"/>
      <c r="J63" s="1091"/>
    </row>
    <row r="64" spans="1:10" ht="12.75" customHeight="1" x14ac:dyDescent="0.2">
      <c r="A64" s="135"/>
      <c r="B64" s="1089"/>
      <c r="C64" s="1090"/>
      <c r="D64" s="1090"/>
      <c r="E64" s="1090"/>
      <c r="F64" s="1090"/>
      <c r="G64" s="1090"/>
      <c r="H64" s="1090"/>
      <c r="I64" s="1090"/>
      <c r="J64" s="1091"/>
    </row>
    <row r="65" spans="1:10" ht="12.75" customHeight="1" x14ac:dyDescent="0.2">
      <c r="A65" s="135"/>
      <c r="B65" s="1089"/>
      <c r="C65" s="1090"/>
      <c r="D65" s="1090"/>
      <c r="E65" s="1090"/>
      <c r="F65" s="1090"/>
      <c r="G65" s="1090"/>
      <c r="H65" s="1090"/>
      <c r="I65" s="1090"/>
      <c r="J65" s="1091"/>
    </row>
    <row r="66" spans="1:10" ht="12.75" customHeight="1" x14ac:dyDescent="0.2">
      <c r="A66" s="135"/>
      <c r="B66" s="1089"/>
      <c r="C66" s="1090"/>
      <c r="D66" s="1090"/>
      <c r="E66" s="1090"/>
      <c r="F66" s="1090"/>
      <c r="G66" s="1090"/>
      <c r="H66" s="1090"/>
      <c r="I66" s="1090"/>
      <c r="J66" s="1091"/>
    </row>
    <row r="67" spans="1:10" ht="12.75" customHeight="1" x14ac:dyDescent="0.2">
      <c r="A67" s="135"/>
      <c r="B67" s="1089"/>
      <c r="C67" s="1090"/>
      <c r="D67" s="1090"/>
      <c r="E67" s="1090"/>
      <c r="F67" s="1090"/>
      <c r="G67" s="1090"/>
      <c r="H67" s="1090"/>
      <c r="I67" s="1090"/>
      <c r="J67" s="1091"/>
    </row>
    <row r="68" spans="1:10" ht="12.75" customHeight="1" x14ac:dyDescent="0.2">
      <c r="A68" s="135"/>
      <c r="B68" s="1089"/>
      <c r="C68" s="1090"/>
      <c r="D68" s="1090"/>
      <c r="E68" s="1090"/>
      <c r="F68" s="1090"/>
      <c r="G68" s="1090"/>
      <c r="H68" s="1090"/>
      <c r="I68" s="1090"/>
      <c r="J68" s="1091"/>
    </row>
    <row r="69" spans="1:10" ht="12.75" customHeight="1" x14ac:dyDescent="0.2">
      <c r="A69" s="135"/>
      <c r="B69" s="1089"/>
      <c r="C69" s="1090"/>
      <c r="D69" s="1090"/>
      <c r="E69" s="1090"/>
      <c r="F69" s="1090"/>
      <c r="G69" s="1090"/>
      <c r="H69" s="1090"/>
      <c r="I69" s="1090"/>
      <c r="J69" s="1091"/>
    </row>
    <row r="70" spans="1:10" ht="12.75" customHeight="1" x14ac:dyDescent="0.2">
      <c r="A70" s="135"/>
      <c r="B70" s="1092"/>
      <c r="C70" s="1093"/>
      <c r="D70" s="1093"/>
      <c r="E70" s="1093"/>
      <c r="F70" s="1093"/>
      <c r="G70" s="1093"/>
      <c r="H70" s="1093"/>
      <c r="I70" s="1093"/>
      <c r="J70" s="1094"/>
    </row>
    <row r="71" spans="1:10" ht="12.75" customHeight="1" x14ac:dyDescent="0.2">
      <c r="A71" s="135"/>
      <c r="B71" s="133"/>
      <c r="C71" s="133"/>
      <c r="D71" s="133"/>
      <c r="E71" s="133"/>
      <c r="F71" s="133"/>
      <c r="G71" s="133"/>
      <c r="H71" s="133"/>
      <c r="I71" s="133"/>
      <c r="J71" s="137"/>
    </row>
    <row r="72" spans="1:10" ht="12.75" customHeight="1" x14ac:dyDescent="0.2">
      <c r="A72" s="135"/>
      <c r="B72" s="1080" t="s">
        <v>238</v>
      </c>
      <c r="C72" s="1080"/>
      <c r="D72" s="133"/>
      <c r="E72" s="133"/>
      <c r="F72" s="133"/>
      <c r="G72" s="133"/>
      <c r="H72" s="133"/>
      <c r="I72" s="133"/>
      <c r="J72" s="137"/>
    </row>
    <row r="73" spans="1:10" ht="12.75" customHeight="1" thickBot="1" x14ac:dyDescent="0.25">
      <c r="A73" s="135"/>
      <c r="B73" s="138"/>
      <c r="C73" s="133"/>
      <c r="D73" s="133"/>
      <c r="E73" s="133"/>
      <c r="F73" s="133"/>
      <c r="G73" s="133"/>
      <c r="H73" s="133"/>
      <c r="I73" s="133"/>
      <c r="J73" s="137"/>
    </row>
    <row r="74" spans="1:10" ht="12.75" customHeight="1" thickBot="1" x14ac:dyDescent="0.25">
      <c r="A74" s="135"/>
      <c r="B74" s="136" t="s">
        <v>23</v>
      </c>
      <c r="C74" s="133"/>
      <c r="D74" s="1071" t="s">
        <v>240</v>
      </c>
      <c r="E74" s="1071"/>
      <c r="F74" s="1071"/>
      <c r="G74" s="1071"/>
      <c r="H74" s="1071"/>
      <c r="I74" s="1071"/>
      <c r="J74" s="132"/>
    </row>
    <row r="75" spans="1:10" ht="12.75" customHeight="1" x14ac:dyDescent="0.2">
      <c r="A75" s="135"/>
      <c r="B75" s="134"/>
      <c r="C75" s="133"/>
      <c r="D75" s="1071"/>
      <c r="E75" s="1071"/>
      <c r="F75" s="1071"/>
      <c r="G75" s="1071"/>
      <c r="H75" s="1071"/>
      <c r="I75" s="1071"/>
      <c r="J75" s="132"/>
    </row>
    <row r="76" spans="1:10" ht="12.75" customHeight="1" x14ac:dyDescent="0.2">
      <c r="A76" s="135"/>
      <c r="B76" s="144"/>
      <c r="C76" s="133"/>
      <c r="D76" s="1071"/>
      <c r="E76" s="1071"/>
      <c r="F76" s="1071"/>
      <c r="G76" s="1071"/>
      <c r="H76" s="1071"/>
      <c r="I76" s="1071"/>
      <c r="J76" s="132"/>
    </row>
    <row r="77" spans="1:10" ht="13.15" customHeight="1" x14ac:dyDescent="0.2">
      <c r="A77" s="135"/>
      <c r="B77" s="144"/>
      <c r="C77" s="133"/>
      <c r="D77" s="1071"/>
      <c r="E77" s="1071"/>
      <c r="F77" s="1071"/>
      <c r="G77" s="1071"/>
      <c r="H77" s="1071"/>
      <c r="I77" s="1071"/>
      <c r="J77" s="132"/>
    </row>
    <row r="78" spans="1:10" ht="16.149999999999999" customHeight="1" x14ac:dyDescent="0.2">
      <c r="A78" s="135"/>
      <c r="B78" s="144"/>
      <c r="C78" s="133"/>
      <c r="D78" s="1071"/>
      <c r="E78" s="1071"/>
      <c r="F78" s="1071"/>
      <c r="G78" s="1071"/>
      <c r="H78" s="1071"/>
      <c r="I78" s="1071"/>
      <c r="J78" s="132"/>
    </row>
    <row r="79" spans="1:10" ht="12.75" customHeight="1" x14ac:dyDescent="0.2">
      <c r="A79" s="135"/>
      <c r="B79" s="144"/>
      <c r="C79" s="133"/>
      <c r="D79" s="144"/>
      <c r="E79" s="144"/>
      <c r="F79" s="144"/>
      <c r="G79" s="144"/>
      <c r="H79" s="144"/>
      <c r="I79" s="144"/>
      <c r="J79" s="132"/>
    </row>
    <row r="80" spans="1:10" ht="12.75" customHeight="1" thickBot="1" x14ac:dyDescent="0.25">
      <c r="A80" s="135"/>
      <c r="B80" s="144"/>
      <c r="C80" s="133"/>
      <c r="D80" s="1067" t="s">
        <v>232</v>
      </c>
      <c r="E80" s="1067"/>
      <c r="F80" s="1067"/>
      <c r="G80" s="1067"/>
      <c r="H80" s="1067"/>
      <c r="I80" s="154"/>
      <c r="J80" s="153"/>
    </row>
    <row r="81" spans="1:10" ht="13.5" thickBot="1" x14ac:dyDescent="0.25">
      <c r="A81" s="135"/>
      <c r="B81" s="134"/>
      <c r="C81" s="133"/>
      <c r="D81" s="1068" t="s">
        <v>844</v>
      </c>
      <c r="E81" s="1069"/>
      <c r="F81" s="1069"/>
      <c r="G81" s="1069"/>
      <c r="H81" s="1069"/>
      <c r="I81" s="1070"/>
      <c r="J81" s="132"/>
    </row>
    <row r="82" spans="1:10" ht="12.75" customHeight="1" x14ac:dyDescent="0.2">
      <c r="A82" s="135"/>
      <c r="B82" s="144"/>
      <c r="C82" s="133"/>
      <c r="D82" s="1071" t="s">
        <v>233</v>
      </c>
      <c r="E82" s="1071"/>
      <c r="F82" s="1071"/>
      <c r="G82" s="1071"/>
      <c r="H82" s="1071"/>
      <c r="I82" s="1071"/>
      <c r="J82" s="132"/>
    </row>
    <row r="83" spans="1:10" ht="13.5" thickBot="1" x14ac:dyDescent="0.25">
      <c r="A83" s="135"/>
      <c r="B83" s="134"/>
      <c r="C83" s="133"/>
      <c r="D83" s="152"/>
      <c r="E83" s="133"/>
      <c r="F83" s="133"/>
      <c r="G83" s="133"/>
      <c r="H83" s="133"/>
      <c r="I83" s="133"/>
      <c r="J83" s="137"/>
    </row>
    <row r="84" spans="1:10" ht="12.75" customHeight="1" thickBot="1" x14ac:dyDescent="0.25">
      <c r="A84" s="135"/>
      <c r="B84" s="151" t="s">
        <v>23</v>
      </c>
      <c r="C84" s="133"/>
      <c r="D84" s="1071" t="s">
        <v>242</v>
      </c>
      <c r="E84" s="1071"/>
      <c r="F84" s="1071"/>
      <c r="G84" s="1071"/>
      <c r="H84" s="1071"/>
      <c r="I84" s="1071"/>
      <c r="J84" s="132"/>
    </row>
    <row r="85" spans="1:10" x14ac:dyDescent="0.2">
      <c r="A85" s="135"/>
      <c r="B85" s="134"/>
      <c r="C85" s="133"/>
      <c r="D85" s="1071"/>
      <c r="E85" s="1071"/>
      <c r="F85" s="1071"/>
      <c r="G85" s="1071"/>
      <c r="H85" s="1071"/>
      <c r="I85" s="1071"/>
      <c r="J85" s="137"/>
    </row>
    <row r="86" spans="1:10" x14ac:dyDescent="0.2">
      <c r="A86" s="135"/>
      <c r="B86" s="134"/>
      <c r="C86" s="133"/>
      <c r="D86" s="144"/>
      <c r="E86" s="144"/>
      <c r="F86" s="144"/>
      <c r="G86" s="144"/>
      <c r="H86" s="144"/>
      <c r="I86" s="144"/>
      <c r="J86" s="137"/>
    </row>
    <row r="87" spans="1:10" s="143" customFormat="1" ht="12.75" customHeight="1" x14ac:dyDescent="0.2">
      <c r="A87" s="150"/>
      <c r="B87" s="1081" t="s">
        <v>246</v>
      </c>
      <c r="C87" s="1081"/>
      <c r="D87" s="1081"/>
      <c r="E87" s="1081"/>
      <c r="F87" s="1082">
        <v>16327.65</v>
      </c>
      <c r="G87" s="1082"/>
      <c r="H87" s="1082"/>
      <c r="I87" s="1082"/>
      <c r="J87" s="1083"/>
    </row>
    <row r="88" spans="1:10" ht="12.75" customHeight="1" x14ac:dyDescent="0.2">
      <c r="A88" s="135"/>
      <c r="B88" s="1084" t="s">
        <v>247</v>
      </c>
      <c r="C88" s="1084"/>
      <c r="D88" s="1084"/>
      <c r="E88" s="1084"/>
      <c r="F88" s="1084"/>
      <c r="G88" s="1084"/>
      <c r="H88" s="1084"/>
      <c r="I88" s="1084"/>
      <c r="J88" s="1085"/>
    </row>
    <row r="89" spans="1:10" ht="12.75" customHeight="1" x14ac:dyDescent="0.2">
      <c r="A89" s="135"/>
      <c r="B89" s="1084"/>
      <c r="C89" s="1084"/>
      <c r="D89" s="1084"/>
      <c r="E89" s="1084"/>
      <c r="F89" s="1084"/>
      <c r="G89" s="1084"/>
      <c r="H89" s="1084"/>
      <c r="I89" s="1084"/>
      <c r="J89" s="1085"/>
    </row>
    <row r="90" spans="1:10" ht="12.75" customHeight="1" x14ac:dyDescent="0.2">
      <c r="A90" s="135"/>
      <c r="B90" s="1086" t="s">
        <v>1038</v>
      </c>
      <c r="C90" s="1087"/>
      <c r="D90" s="1087"/>
      <c r="E90" s="1087"/>
      <c r="F90" s="1087"/>
      <c r="G90" s="1087"/>
      <c r="H90" s="1087"/>
      <c r="I90" s="1087"/>
      <c r="J90" s="1088"/>
    </row>
    <row r="91" spans="1:10" ht="12.75" customHeight="1" x14ac:dyDescent="0.2">
      <c r="A91" s="135"/>
      <c r="B91" s="1089"/>
      <c r="C91" s="1090"/>
      <c r="D91" s="1090"/>
      <c r="E91" s="1090"/>
      <c r="F91" s="1090"/>
      <c r="G91" s="1090"/>
      <c r="H91" s="1090"/>
      <c r="I91" s="1090"/>
      <c r="J91" s="1091"/>
    </row>
    <row r="92" spans="1:10" ht="12.75" customHeight="1" x14ac:dyDescent="0.2">
      <c r="A92" s="135"/>
      <c r="B92" s="1089"/>
      <c r="C92" s="1090"/>
      <c r="D92" s="1090"/>
      <c r="E92" s="1090"/>
      <c r="F92" s="1090"/>
      <c r="G92" s="1090"/>
      <c r="H92" s="1090"/>
      <c r="I92" s="1090"/>
      <c r="J92" s="1091"/>
    </row>
    <row r="93" spans="1:10" ht="12.75" customHeight="1" x14ac:dyDescent="0.2">
      <c r="A93" s="135"/>
      <c r="B93" s="1089"/>
      <c r="C93" s="1090"/>
      <c r="D93" s="1090"/>
      <c r="E93" s="1090"/>
      <c r="F93" s="1090"/>
      <c r="G93" s="1090"/>
      <c r="H93" s="1090"/>
      <c r="I93" s="1090"/>
      <c r="J93" s="1091"/>
    </row>
    <row r="94" spans="1:10" ht="12.75" customHeight="1" x14ac:dyDescent="0.2">
      <c r="A94" s="135"/>
      <c r="B94" s="1089"/>
      <c r="C94" s="1090"/>
      <c r="D94" s="1090"/>
      <c r="E94" s="1090"/>
      <c r="F94" s="1090"/>
      <c r="G94" s="1090"/>
      <c r="H94" s="1090"/>
      <c r="I94" s="1090"/>
      <c r="J94" s="1091"/>
    </row>
    <row r="95" spans="1:10" ht="12.75" customHeight="1" x14ac:dyDescent="0.2">
      <c r="A95" s="135"/>
      <c r="B95" s="1089"/>
      <c r="C95" s="1090"/>
      <c r="D95" s="1090"/>
      <c r="E95" s="1090"/>
      <c r="F95" s="1090"/>
      <c r="G95" s="1090"/>
      <c r="H95" s="1090"/>
      <c r="I95" s="1090"/>
      <c r="J95" s="1091"/>
    </row>
    <row r="96" spans="1:10" ht="12.75" customHeight="1" x14ac:dyDescent="0.2">
      <c r="A96" s="135"/>
      <c r="B96" s="1089"/>
      <c r="C96" s="1090"/>
      <c r="D96" s="1090"/>
      <c r="E96" s="1090"/>
      <c r="F96" s="1090"/>
      <c r="G96" s="1090"/>
      <c r="H96" s="1090"/>
      <c r="I96" s="1090"/>
      <c r="J96" s="1091"/>
    </row>
    <row r="97" spans="1:10" ht="12.75" customHeight="1" x14ac:dyDescent="0.2">
      <c r="A97" s="135"/>
      <c r="B97" s="1089"/>
      <c r="C97" s="1090"/>
      <c r="D97" s="1090"/>
      <c r="E97" s="1090"/>
      <c r="F97" s="1090"/>
      <c r="G97" s="1090"/>
      <c r="H97" s="1090"/>
      <c r="I97" s="1090"/>
      <c r="J97" s="1091"/>
    </row>
    <row r="98" spans="1:10" ht="12.75" customHeight="1" x14ac:dyDescent="0.2">
      <c r="A98" s="135"/>
      <c r="B98" s="1089"/>
      <c r="C98" s="1090"/>
      <c r="D98" s="1090"/>
      <c r="E98" s="1090"/>
      <c r="F98" s="1090"/>
      <c r="G98" s="1090"/>
      <c r="H98" s="1090"/>
      <c r="I98" s="1090"/>
      <c r="J98" s="1091"/>
    </row>
    <row r="99" spans="1:10" ht="12.75" customHeight="1" x14ac:dyDescent="0.2">
      <c r="A99" s="135"/>
      <c r="B99" s="1092"/>
      <c r="C99" s="1093"/>
      <c r="D99" s="1093"/>
      <c r="E99" s="1093"/>
      <c r="F99" s="1093"/>
      <c r="G99" s="1093"/>
      <c r="H99" s="1093"/>
      <c r="I99" s="1093"/>
      <c r="J99" s="1094"/>
    </row>
    <row r="100" spans="1:10" ht="12.75" customHeight="1" x14ac:dyDescent="0.2">
      <c r="A100" s="135"/>
      <c r="B100" s="133"/>
      <c r="C100" s="133"/>
      <c r="D100" s="133"/>
      <c r="E100" s="133"/>
      <c r="F100" s="133"/>
      <c r="G100" s="133"/>
      <c r="H100" s="133"/>
      <c r="I100" s="133"/>
      <c r="J100" s="137"/>
    </row>
    <row r="101" spans="1:10" x14ac:dyDescent="0.2">
      <c r="A101" s="149"/>
      <c r="B101" s="148"/>
      <c r="C101" s="147"/>
      <c r="D101" s="146"/>
      <c r="E101" s="146"/>
      <c r="F101" s="146"/>
      <c r="G101" s="146"/>
      <c r="H101" s="146"/>
      <c r="I101" s="146"/>
      <c r="J101" s="145"/>
    </row>
    <row r="102" spans="1:10" s="143" customFormat="1" ht="25.5" customHeight="1" x14ac:dyDescent="0.2">
      <c r="A102" s="730" t="s">
        <v>248</v>
      </c>
      <c r="B102" s="731"/>
      <c r="C102" s="731"/>
      <c r="D102" s="731"/>
      <c r="E102" s="731"/>
      <c r="F102" s="731"/>
      <c r="G102" s="731"/>
      <c r="H102" s="731"/>
      <c r="I102" s="731"/>
      <c r="J102" s="732"/>
    </row>
    <row r="103" spans="1:10" x14ac:dyDescent="0.2">
      <c r="A103" s="142"/>
      <c r="B103" s="141"/>
      <c r="C103" s="141"/>
      <c r="D103" s="141"/>
      <c r="E103" s="141"/>
      <c r="F103" s="141"/>
      <c r="G103" s="141"/>
      <c r="H103" s="141"/>
      <c r="I103" s="141"/>
      <c r="J103" s="140"/>
    </row>
    <row r="104" spans="1:10" ht="18.75" customHeight="1" x14ac:dyDescent="0.25">
      <c r="A104" s="139"/>
      <c r="B104" s="1078" t="s">
        <v>230</v>
      </c>
      <c r="C104" s="1078"/>
      <c r="D104" s="1078"/>
      <c r="E104" s="1078"/>
      <c r="F104" s="1078"/>
      <c r="G104" s="1078"/>
      <c r="H104" s="1078"/>
      <c r="I104" s="1078"/>
      <c r="J104" s="1079"/>
    </row>
    <row r="105" spans="1:10" s="21" customFormat="1" ht="12.75" customHeight="1" thickBot="1" x14ac:dyDescent="0.25">
      <c r="A105" s="135"/>
      <c r="B105" s="2"/>
      <c r="C105" s="133"/>
      <c r="D105" s="2"/>
      <c r="E105" s="144"/>
      <c r="F105" s="144"/>
      <c r="G105" s="144"/>
      <c r="H105" s="144"/>
      <c r="I105" s="144"/>
      <c r="J105" s="132"/>
    </row>
    <row r="106" spans="1:10" ht="12.75" customHeight="1" thickBot="1" x14ac:dyDescent="0.25">
      <c r="A106" s="135"/>
      <c r="B106" s="136" t="s">
        <v>23</v>
      </c>
      <c r="C106" s="133"/>
      <c r="D106" s="1071" t="s">
        <v>251</v>
      </c>
      <c r="E106" s="1071"/>
      <c r="F106" s="1071"/>
      <c r="G106" s="1071"/>
      <c r="H106" s="1071"/>
      <c r="I106" s="1071"/>
      <c r="J106" s="132"/>
    </row>
    <row r="107" spans="1:10" ht="14.45" customHeight="1" x14ac:dyDescent="0.2">
      <c r="A107" s="135"/>
      <c r="B107" s="134"/>
      <c r="C107" s="133"/>
      <c r="D107" s="1071"/>
      <c r="E107" s="1071"/>
      <c r="F107" s="1071"/>
      <c r="G107" s="1071"/>
      <c r="H107" s="1071"/>
      <c r="I107" s="1071"/>
      <c r="J107" s="132"/>
    </row>
    <row r="108" spans="1:10" ht="12.75" customHeight="1" x14ac:dyDescent="0.2">
      <c r="A108" s="135"/>
      <c r="B108" s="134"/>
      <c r="C108" s="133"/>
      <c r="D108" s="1071"/>
      <c r="E108" s="1071"/>
      <c r="F108" s="1071"/>
      <c r="G108" s="1071"/>
      <c r="H108" s="1071"/>
      <c r="I108" s="1071"/>
      <c r="J108" s="132"/>
    </row>
    <row r="109" spans="1:10" ht="12.75" customHeight="1" x14ac:dyDescent="0.2">
      <c r="A109" s="135"/>
      <c r="B109" s="134"/>
      <c r="C109" s="133"/>
      <c r="D109" s="1071"/>
      <c r="E109" s="1071"/>
      <c r="F109" s="1071"/>
      <c r="G109" s="1071"/>
      <c r="H109" s="1071"/>
      <c r="I109" s="1071"/>
      <c r="J109" s="132"/>
    </row>
    <row r="110" spans="1:10" ht="12.75" customHeight="1" thickBot="1" x14ac:dyDescent="0.25">
      <c r="A110" s="135"/>
      <c r="C110" s="133"/>
      <c r="E110" s="144"/>
      <c r="F110" s="144"/>
      <c r="G110" s="144"/>
      <c r="H110" s="144"/>
      <c r="I110" s="144"/>
      <c r="J110" s="132"/>
    </row>
    <row r="111" spans="1:10" ht="12.75" customHeight="1" thickBot="1" x14ac:dyDescent="0.25">
      <c r="A111" s="135"/>
      <c r="B111" s="136" t="s">
        <v>23</v>
      </c>
      <c r="C111" s="133"/>
      <c r="D111" s="1095" t="s">
        <v>250</v>
      </c>
      <c r="E111" s="1095"/>
      <c r="F111" s="1095"/>
      <c r="G111" s="1095"/>
      <c r="H111" s="1095"/>
      <c r="I111" s="1095"/>
      <c r="J111" s="132"/>
    </row>
    <row r="112" spans="1:10" ht="16.899999999999999" customHeight="1" x14ac:dyDescent="0.2">
      <c r="A112" s="135"/>
      <c r="B112" s="134"/>
      <c r="C112" s="133"/>
      <c r="D112" s="1095"/>
      <c r="E112" s="1095"/>
      <c r="F112" s="1095"/>
      <c r="G112" s="1095"/>
      <c r="H112" s="1095"/>
      <c r="I112" s="1095"/>
      <c r="J112" s="132"/>
    </row>
    <row r="113" spans="1:10" ht="12.75" customHeight="1" x14ac:dyDescent="0.2">
      <c r="A113" s="135"/>
      <c r="B113" s="134"/>
      <c r="C113" s="133"/>
      <c r="D113" s="1095"/>
      <c r="E113" s="1095"/>
      <c r="F113" s="1095"/>
      <c r="G113" s="1095"/>
      <c r="H113" s="1095"/>
      <c r="I113" s="1095"/>
      <c r="J113" s="132"/>
    </row>
    <row r="114" spans="1:10" ht="12.75" customHeight="1" x14ac:dyDescent="0.2">
      <c r="A114" s="135"/>
      <c r="B114" s="134"/>
      <c r="C114" s="133"/>
      <c r="D114" s="1095"/>
      <c r="E114" s="1095"/>
      <c r="F114" s="1095"/>
      <c r="G114" s="1095"/>
      <c r="H114" s="1095"/>
      <c r="I114" s="1095"/>
      <c r="J114" s="132"/>
    </row>
    <row r="115" spans="1:10" ht="12.75" customHeight="1" thickBot="1" x14ac:dyDescent="0.25">
      <c r="A115" s="135"/>
      <c r="B115" s="134"/>
      <c r="C115" s="133"/>
      <c r="D115" s="144"/>
      <c r="E115" s="144"/>
      <c r="F115" s="144"/>
      <c r="G115" s="144"/>
      <c r="H115" s="144"/>
      <c r="I115" s="144"/>
      <c r="J115" s="132"/>
    </row>
    <row r="116" spans="1:10" ht="12.75" customHeight="1" thickBot="1" x14ac:dyDescent="0.25">
      <c r="A116" s="135"/>
      <c r="B116" s="136" t="s">
        <v>23</v>
      </c>
      <c r="C116" s="133"/>
      <c r="D116" s="1071" t="s">
        <v>252</v>
      </c>
      <c r="E116" s="1071"/>
      <c r="F116" s="1071"/>
      <c r="G116" s="1071"/>
      <c r="H116" s="1071"/>
      <c r="I116" s="1071"/>
      <c r="J116" s="132"/>
    </row>
    <row r="117" spans="1:10" ht="14.45" customHeight="1" x14ac:dyDescent="0.2">
      <c r="A117" s="135"/>
      <c r="B117" s="134"/>
      <c r="C117" s="133"/>
      <c r="D117" s="1071"/>
      <c r="E117" s="1071"/>
      <c r="F117" s="1071"/>
      <c r="G117" s="1071"/>
      <c r="H117" s="1071"/>
      <c r="I117" s="1071"/>
      <c r="J117" s="132"/>
    </row>
    <row r="118" spans="1:10" ht="12.75" customHeight="1" x14ac:dyDescent="0.2">
      <c r="A118" s="135"/>
      <c r="B118" s="134"/>
      <c r="C118" s="133"/>
      <c r="D118" s="1071"/>
      <c r="E118" s="1071"/>
      <c r="F118" s="1071"/>
      <c r="G118" s="1071"/>
      <c r="H118" s="1071"/>
      <c r="I118" s="1071"/>
      <c r="J118" s="132"/>
    </row>
    <row r="119" spans="1:10" ht="12.75" customHeight="1" x14ac:dyDescent="0.2">
      <c r="A119" s="135"/>
      <c r="B119" s="134"/>
      <c r="C119" s="133"/>
      <c r="D119" s="144"/>
      <c r="E119" s="144"/>
      <c r="F119" s="144"/>
      <c r="G119" s="144"/>
      <c r="H119" s="144"/>
      <c r="I119" s="144"/>
      <c r="J119" s="132"/>
    </row>
    <row r="120" spans="1:10" s="143" customFormat="1" ht="25.5" customHeight="1" x14ac:dyDescent="0.2">
      <c r="A120" s="730" t="s">
        <v>249</v>
      </c>
      <c r="B120" s="731"/>
      <c r="C120" s="731"/>
      <c r="D120" s="731"/>
      <c r="E120" s="731"/>
      <c r="F120" s="731"/>
      <c r="G120" s="731"/>
      <c r="H120" s="731"/>
      <c r="I120" s="731"/>
      <c r="J120" s="732"/>
    </row>
    <row r="121" spans="1:10" x14ac:dyDescent="0.2">
      <c r="A121" s="142"/>
      <c r="B121" s="141"/>
      <c r="C121" s="141"/>
      <c r="D121" s="141"/>
      <c r="E121" s="141"/>
      <c r="F121" s="141"/>
      <c r="G121" s="141"/>
      <c r="H121" s="141"/>
      <c r="I121" s="141"/>
      <c r="J121" s="140"/>
    </row>
    <row r="122" spans="1:10" ht="18.75" customHeight="1" x14ac:dyDescent="0.25">
      <c r="A122" s="139"/>
      <c r="B122" s="1078" t="s">
        <v>230</v>
      </c>
      <c r="C122" s="1078"/>
      <c r="D122" s="1078"/>
      <c r="E122" s="1078"/>
      <c r="F122" s="1078"/>
      <c r="G122" s="1078"/>
      <c r="H122" s="1078"/>
      <c r="I122" s="1078"/>
      <c r="J122" s="1079"/>
    </row>
    <row r="123" spans="1:10" ht="12.75" customHeight="1" thickBot="1" x14ac:dyDescent="0.25">
      <c r="A123" s="135"/>
      <c r="B123" s="138"/>
      <c r="C123" s="133"/>
      <c r="D123" s="133"/>
      <c r="E123" s="133"/>
      <c r="F123" s="133"/>
      <c r="G123" s="133"/>
      <c r="H123" s="133"/>
      <c r="I123" s="133"/>
      <c r="J123" s="137"/>
    </row>
    <row r="124" spans="1:10" ht="17.45" customHeight="1" thickBot="1" x14ac:dyDescent="0.25">
      <c r="A124" s="135"/>
      <c r="B124" s="136" t="s">
        <v>23</v>
      </c>
      <c r="C124" s="133"/>
      <c r="D124" s="1095" t="s">
        <v>333</v>
      </c>
      <c r="E124" s="1071"/>
      <c r="F124" s="1071"/>
      <c r="G124" s="1071"/>
      <c r="H124" s="1071"/>
      <c r="I124" s="1071"/>
      <c r="J124" s="132"/>
    </row>
    <row r="125" spans="1:10" ht="12.75" customHeight="1" x14ac:dyDescent="0.2">
      <c r="A125" s="135"/>
      <c r="B125" s="134"/>
      <c r="C125" s="133"/>
      <c r="D125" s="1071"/>
      <c r="E125" s="1071"/>
      <c r="F125" s="1071"/>
      <c r="G125" s="1071"/>
      <c r="H125" s="1071"/>
      <c r="I125" s="1071"/>
      <c r="J125" s="132"/>
    </row>
    <row r="126" spans="1:10" ht="12.75" customHeight="1" x14ac:dyDescent="0.2">
      <c r="A126" s="135"/>
      <c r="B126" s="134"/>
      <c r="C126" s="133"/>
      <c r="D126" s="1071"/>
      <c r="E126" s="1071"/>
      <c r="F126" s="1071"/>
      <c r="G126" s="1071"/>
      <c r="H126" s="1071"/>
      <c r="I126" s="1071"/>
      <c r="J126" s="132"/>
    </row>
    <row r="127" spans="1:10" ht="12.75" customHeight="1" x14ac:dyDescent="0.2">
      <c r="A127" s="135"/>
      <c r="B127" s="134"/>
      <c r="C127" s="133"/>
      <c r="D127" s="1071"/>
      <c r="E127" s="1071"/>
      <c r="F127" s="1071"/>
      <c r="G127" s="1071"/>
      <c r="H127" s="1071"/>
      <c r="I127" s="1071"/>
      <c r="J127" s="132"/>
    </row>
    <row r="128" spans="1:10" ht="12.75" customHeight="1" x14ac:dyDescent="0.2">
      <c r="A128" s="135"/>
      <c r="B128" s="134"/>
      <c r="C128" s="133"/>
      <c r="D128" s="1071"/>
      <c r="E128" s="1071"/>
      <c r="F128" s="1071"/>
      <c r="G128" s="1071"/>
      <c r="H128" s="1071"/>
      <c r="I128" s="1071"/>
      <c r="J128" s="132"/>
    </row>
    <row r="129" spans="1:10" ht="12.75" customHeight="1" x14ac:dyDescent="0.2">
      <c r="A129" s="135"/>
      <c r="B129" s="134"/>
      <c r="C129" s="133"/>
      <c r="D129" s="1071"/>
      <c r="E129" s="1071"/>
      <c r="F129" s="1071"/>
      <c r="G129" s="1071"/>
      <c r="H129" s="1071"/>
      <c r="I129" s="1071"/>
      <c r="J129" s="132"/>
    </row>
    <row r="130" spans="1:10" ht="13.5" thickBot="1" x14ac:dyDescent="0.25">
      <c r="A130" s="135"/>
      <c r="B130" s="134"/>
      <c r="C130" s="133"/>
      <c r="D130" s="1071"/>
      <c r="E130" s="1071"/>
      <c r="F130" s="1071"/>
      <c r="G130" s="1071"/>
      <c r="H130" s="1071"/>
      <c r="I130" s="1071"/>
      <c r="J130" s="132"/>
    </row>
    <row r="131" spans="1:10" ht="17.45" customHeight="1" thickBot="1" x14ac:dyDescent="0.25">
      <c r="A131" s="135"/>
      <c r="B131" s="136" t="s">
        <v>23</v>
      </c>
      <c r="C131" s="133"/>
      <c r="D131" s="1071" t="s">
        <v>253</v>
      </c>
      <c r="E131" s="1071"/>
      <c r="F131" s="1071"/>
      <c r="G131" s="1071"/>
      <c r="H131" s="1071"/>
      <c r="I131" s="1071"/>
      <c r="J131" s="132"/>
    </row>
    <row r="132" spans="1:10" ht="12.75" customHeight="1" x14ac:dyDescent="0.2">
      <c r="A132" s="135"/>
      <c r="B132" s="134"/>
      <c r="C132" s="133"/>
      <c r="D132" s="1071"/>
      <c r="E132" s="1071"/>
      <c r="F132" s="1071"/>
      <c r="G132" s="1071"/>
      <c r="H132" s="1071"/>
      <c r="I132" s="1071"/>
      <c r="J132" s="132"/>
    </row>
    <row r="133" spans="1:10" ht="12.75" customHeight="1" x14ac:dyDescent="0.2">
      <c r="A133" s="135"/>
      <c r="B133" s="134"/>
      <c r="C133" s="133"/>
      <c r="D133" s="1071"/>
      <c r="E133" s="1071"/>
      <c r="F133" s="1071"/>
      <c r="G133" s="1071"/>
      <c r="H133" s="1071"/>
      <c r="I133" s="1071"/>
      <c r="J133" s="132"/>
    </row>
    <row r="134" spans="1:10" ht="12.75" customHeight="1" x14ac:dyDescent="0.2">
      <c r="A134" s="135"/>
      <c r="B134" s="134"/>
      <c r="C134" s="133"/>
      <c r="D134" s="1071"/>
      <c r="E134" s="1071"/>
      <c r="F134" s="1071"/>
      <c r="G134" s="1071"/>
      <c r="H134" s="1071"/>
      <c r="I134" s="1071"/>
      <c r="J134" s="132"/>
    </row>
    <row r="135" spans="1:10" ht="13.5" thickBot="1" x14ac:dyDescent="0.25">
      <c r="A135" s="131"/>
      <c r="B135" s="130"/>
      <c r="C135" s="129"/>
      <c r="D135" s="128"/>
      <c r="E135" s="128"/>
      <c r="F135" s="128"/>
      <c r="G135" s="128"/>
      <c r="H135" s="128"/>
      <c r="I135" s="128"/>
      <c r="J135" s="127"/>
    </row>
    <row r="136" spans="1:10" ht="12.75" customHeight="1" thickTop="1" x14ac:dyDescent="0.2"/>
    <row r="137" spans="1:10" ht="12.75" hidden="1" customHeight="1" x14ac:dyDescent="0.2"/>
    <row r="138" spans="1:10" ht="12.75" hidden="1" customHeight="1" x14ac:dyDescent="0.2">
      <c r="A138" s="2" t="s">
        <v>23</v>
      </c>
    </row>
  </sheetData>
  <sheetProtection formatRows="0"/>
  <mergeCells count="45">
    <mergeCell ref="D131:I134"/>
    <mergeCell ref="D116:I118"/>
    <mergeCell ref="A120:J120"/>
    <mergeCell ref="B122:J122"/>
    <mergeCell ref="D111:I114"/>
    <mergeCell ref="D124:I129"/>
    <mergeCell ref="B61:J70"/>
    <mergeCell ref="B72:C72"/>
    <mergeCell ref="D74:I78"/>
    <mergeCell ref="D130:I130"/>
    <mergeCell ref="D80:H80"/>
    <mergeCell ref="D81:I81"/>
    <mergeCell ref="D82:I82"/>
    <mergeCell ref="D84:I85"/>
    <mergeCell ref="B87:E87"/>
    <mergeCell ref="F87:J87"/>
    <mergeCell ref="D106:I109"/>
    <mergeCell ref="B88:J89"/>
    <mergeCell ref="B90:J99"/>
    <mergeCell ref="A102:J102"/>
    <mergeCell ref="B104:J104"/>
    <mergeCell ref="D53:I53"/>
    <mergeCell ref="D55:I56"/>
    <mergeCell ref="B58:E58"/>
    <mergeCell ref="F58:J58"/>
    <mergeCell ref="B59:J60"/>
    <mergeCell ref="B32:J41"/>
    <mergeCell ref="B43:C43"/>
    <mergeCell ref="D45:I49"/>
    <mergeCell ref="D51:H51"/>
    <mergeCell ref="D52:I52"/>
    <mergeCell ref="D22:I23"/>
    <mergeCell ref="D25:I27"/>
    <mergeCell ref="B29:E29"/>
    <mergeCell ref="F29:J29"/>
    <mergeCell ref="B30:J31"/>
    <mergeCell ref="D18:H18"/>
    <mergeCell ref="D19:I19"/>
    <mergeCell ref="D20:I20"/>
    <mergeCell ref="A1:J2"/>
    <mergeCell ref="A3:J4"/>
    <mergeCell ref="A6:J6"/>
    <mergeCell ref="B8:J8"/>
    <mergeCell ref="B10:C10"/>
    <mergeCell ref="D12:I16"/>
  </mergeCells>
  <dataValidations count="1">
    <dataValidation type="list" allowBlank="1" showInputMessage="1" showErrorMessage="1" sqref="B111 B106 B55 B25 B12 B22 B84 B74 B45 B131 B124 B116">
      <formula1>check</formula1>
    </dataValidation>
  </dataValidations>
  <pageMargins left="0.75" right="0.75" top="1" bottom="1" header="0.5" footer="0.5"/>
  <pageSetup scale="83" fitToWidth="0" fitToHeight="0" orientation="landscape" r:id="rId1"/>
  <headerFooter alignWithMargins="0">
    <oddHeader>&amp;LFFY 2012 Consolidated Application&amp;R&amp;P of &amp;N</oddHeader>
  </headerFooter>
  <rowBreaks count="2" manualBreakCount="2">
    <brk id="71" max="16383" man="1"/>
    <brk id="10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J33"/>
  <sheetViews>
    <sheetView zoomScaleNormal="100" workbookViewId="0">
      <selection activeCell="B31" sqref="B31"/>
    </sheetView>
  </sheetViews>
  <sheetFormatPr defaultRowHeight="12.75" x14ac:dyDescent="0.2"/>
  <cols>
    <col min="1" max="10" width="15.7109375" customWidth="1"/>
  </cols>
  <sheetData>
    <row r="1" spans="1:10" x14ac:dyDescent="0.2">
      <c r="A1" s="1099" t="s">
        <v>595</v>
      </c>
      <c r="B1" s="1100"/>
      <c r="C1" s="1100"/>
      <c r="D1" s="1100"/>
      <c r="E1" s="1100"/>
      <c r="F1" s="1100"/>
      <c r="G1" s="1100"/>
      <c r="H1" s="1100"/>
      <c r="I1" s="1100"/>
      <c r="J1" s="1101"/>
    </row>
    <row r="2" spans="1:10" x14ac:dyDescent="0.2">
      <c r="A2" s="1102"/>
      <c r="B2" s="1103"/>
      <c r="C2" s="1103"/>
      <c r="D2" s="1103"/>
      <c r="E2" s="1103"/>
      <c r="F2" s="1103"/>
      <c r="G2" s="1103"/>
      <c r="H2" s="1103"/>
      <c r="I2" s="1103"/>
      <c r="J2" s="1104"/>
    </row>
    <row r="3" spans="1:10" x14ac:dyDescent="0.2">
      <c r="A3" s="925" t="s">
        <v>24</v>
      </c>
      <c r="B3" s="674"/>
      <c r="C3" s="674"/>
      <c r="D3" s="674"/>
      <c r="E3" s="674"/>
      <c r="F3" s="674"/>
      <c r="G3" s="674"/>
      <c r="H3" s="674"/>
      <c r="I3" s="674"/>
      <c r="J3" s="926"/>
    </row>
    <row r="4" spans="1:10" x14ac:dyDescent="0.2">
      <c r="A4" s="929"/>
      <c r="B4" s="677"/>
      <c r="C4" s="677"/>
      <c r="D4" s="677"/>
      <c r="E4" s="677"/>
      <c r="F4" s="677"/>
      <c r="G4" s="677"/>
      <c r="H4" s="677"/>
      <c r="I4" s="677"/>
      <c r="J4" s="930"/>
    </row>
    <row r="5" spans="1:10" x14ac:dyDescent="0.2">
      <c r="A5" s="183"/>
      <c r="B5" s="69"/>
      <c r="C5" s="69"/>
      <c r="D5" s="69"/>
      <c r="E5" s="69"/>
      <c r="F5" s="69"/>
      <c r="G5" s="69"/>
      <c r="H5" s="69"/>
      <c r="I5" s="69"/>
      <c r="J5" s="184"/>
    </row>
    <row r="6" spans="1:10" ht="15.75" x14ac:dyDescent="0.25">
      <c r="A6" s="185"/>
      <c r="B6" s="186"/>
      <c r="C6" s="187"/>
      <c r="D6" s="1105" t="s">
        <v>591</v>
      </c>
      <c r="E6" s="1105"/>
      <c r="F6" s="1105"/>
      <c r="G6" s="1105"/>
      <c r="H6" s="1105"/>
      <c r="I6" s="1105"/>
      <c r="J6" s="1106"/>
    </row>
    <row r="7" spans="1:10" ht="15.75" x14ac:dyDescent="0.25">
      <c r="A7" s="185"/>
      <c r="B7" s="187"/>
      <c r="C7" s="187"/>
      <c r="D7" s="1105"/>
      <c r="E7" s="1105"/>
      <c r="F7" s="1105"/>
      <c r="G7" s="1105"/>
      <c r="H7" s="1105"/>
      <c r="I7" s="1105"/>
      <c r="J7" s="1106"/>
    </row>
    <row r="8" spans="1:10" ht="13.5" thickBot="1" x14ac:dyDescent="0.25">
      <c r="A8" s="185"/>
      <c r="B8" s="70"/>
      <c r="C8" s="70"/>
      <c r="D8" s="70"/>
      <c r="E8" s="70"/>
      <c r="F8" s="70"/>
      <c r="G8" s="70"/>
      <c r="H8" s="70"/>
      <c r="I8" s="70"/>
      <c r="J8" s="188"/>
    </row>
    <row r="9" spans="1:10" ht="13.5" thickBot="1" x14ac:dyDescent="0.25">
      <c r="A9" s="189" t="s">
        <v>592</v>
      </c>
      <c r="B9" s="71" t="s">
        <v>23</v>
      </c>
      <c r="C9" s="72"/>
      <c r="D9" s="698" t="s">
        <v>596</v>
      </c>
      <c r="E9" s="698"/>
      <c r="F9" s="698"/>
      <c r="G9" s="698"/>
      <c r="H9" s="698"/>
      <c r="I9" s="698"/>
      <c r="J9" s="1096"/>
    </row>
    <row r="10" spans="1:10" x14ac:dyDescent="0.2">
      <c r="A10" s="189"/>
      <c r="B10" s="73"/>
      <c r="C10" s="72"/>
      <c r="D10" s="1107" t="s">
        <v>597</v>
      </c>
      <c r="E10" s="1107"/>
      <c r="F10" s="1107"/>
      <c r="G10" s="1107"/>
      <c r="H10" s="1107"/>
      <c r="I10" s="1107"/>
      <c r="J10" s="1108"/>
    </row>
    <row r="11" spans="1:10" ht="12" customHeight="1" thickBot="1" x14ac:dyDescent="0.25">
      <c r="A11" s="189"/>
      <c r="B11" s="73"/>
      <c r="C11" s="72"/>
      <c r="D11" s="72"/>
      <c r="E11" s="72"/>
      <c r="F11" s="72"/>
      <c r="G11" s="72"/>
      <c r="H11" s="72"/>
      <c r="I11" s="72"/>
      <c r="J11" s="190"/>
    </row>
    <row r="12" spans="1:10" ht="13.5" thickBot="1" x14ac:dyDescent="0.25">
      <c r="A12" s="189" t="s">
        <v>593</v>
      </c>
      <c r="B12" s="71" t="s">
        <v>23</v>
      </c>
      <c r="C12" s="72"/>
      <c r="D12" s="698" t="s">
        <v>598</v>
      </c>
      <c r="E12" s="698"/>
      <c r="F12" s="698"/>
      <c r="G12" s="698"/>
      <c r="H12" s="698"/>
      <c r="I12" s="698"/>
      <c r="J12" s="1096"/>
    </row>
    <row r="13" spans="1:10" ht="28.9" customHeight="1" x14ac:dyDescent="0.2">
      <c r="A13" s="189"/>
      <c r="B13" s="74"/>
      <c r="C13" s="72"/>
      <c r="D13" s="698"/>
      <c r="E13" s="698"/>
      <c r="F13" s="698"/>
      <c r="G13" s="698"/>
      <c r="H13" s="698"/>
      <c r="I13" s="698"/>
      <c r="J13" s="1096"/>
    </row>
    <row r="14" spans="1:10" ht="7.9" customHeight="1" thickBot="1" x14ac:dyDescent="0.25">
      <c r="A14" s="189"/>
      <c r="B14" s="73"/>
      <c r="C14" s="72"/>
      <c r="D14" s="72"/>
      <c r="E14" s="72"/>
      <c r="F14" s="72"/>
      <c r="G14" s="72"/>
      <c r="H14" s="72"/>
      <c r="I14" s="72"/>
      <c r="J14" s="190"/>
    </row>
    <row r="15" spans="1:10" ht="15.6" customHeight="1" thickBot="1" x14ac:dyDescent="0.25">
      <c r="A15" s="189" t="s">
        <v>594</v>
      </c>
      <c r="B15" s="71" t="s">
        <v>23</v>
      </c>
      <c r="C15" s="72"/>
      <c r="D15" s="698" t="s">
        <v>601</v>
      </c>
      <c r="E15" s="698"/>
      <c r="F15" s="698"/>
      <c r="G15" s="698"/>
      <c r="H15" s="698"/>
      <c r="I15" s="698"/>
      <c r="J15" s="1096"/>
    </row>
    <row r="16" spans="1:10" x14ac:dyDescent="0.2">
      <c r="A16" s="189"/>
      <c r="B16" s="191"/>
      <c r="C16" s="72"/>
      <c r="D16" s="698"/>
      <c r="E16" s="698"/>
      <c r="F16" s="698"/>
      <c r="G16" s="698"/>
      <c r="H16" s="698"/>
      <c r="I16" s="698"/>
      <c r="J16" s="1096"/>
    </row>
    <row r="17" spans="1:10" ht="10.15" customHeight="1" thickBot="1" x14ac:dyDescent="0.25">
      <c r="A17" s="189"/>
      <c r="B17" s="73"/>
      <c r="C17" s="72"/>
      <c r="D17" s="72"/>
      <c r="E17" s="72"/>
      <c r="F17" s="72"/>
      <c r="G17" s="72"/>
      <c r="H17" s="72"/>
      <c r="I17" s="72"/>
      <c r="J17" s="190"/>
    </row>
    <row r="18" spans="1:10" ht="14.45" customHeight="1" thickBot="1" x14ac:dyDescent="0.25">
      <c r="A18" s="189" t="s">
        <v>599</v>
      </c>
      <c r="B18" s="71" t="s">
        <v>23</v>
      </c>
      <c r="C18" s="72"/>
      <c r="D18" s="698" t="s">
        <v>600</v>
      </c>
      <c r="E18" s="698"/>
      <c r="F18" s="698"/>
      <c r="G18" s="698"/>
      <c r="H18" s="698"/>
      <c r="I18" s="698"/>
      <c r="J18" s="1096"/>
    </row>
    <row r="19" spans="1:10" ht="9" customHeight="1" x14ac:dyDescent="0.2">
      <c r="A19" s="189"/>
      <c r="B19" s="74"/>
      <c r="C19" s="72"/>
      <c r="D19" s="698"/>
      <c r="E19" s="698"/>
      <c r="F19" s="698"/>
      <c r="G19" s="698"/>
      <c r="H19" s="698"/>
      <c r="I19" s="698"/>
      <c r="J19" s="1096"/>
    </row>
    <row r="20" spans="1:10" ht="7.9" customHeight="1" thickBot="1" x14ac:dyDescent="0.25">
      <c r="A20" s="189"/>
      <c r="B20" s="73"/>
      <c r="C20" s="72"/>
      <c r="D20" s="72"/>
      <c r="E20" s="72"/>
      <c r="F20" s="72"/>
      <c r="G20" s="72"/>
      <c r="H20" s="72"/>
      <c r="I20" s="72"/>
      <c r="J20" s="190"/>
    </row>
    <row r="21" spans="1:10" ht="14.45" customHeight="1" thickBot="1" x14ac:dyDescent="0.25">
      <c r="A21" s="189" t="s">
        <v>602</v>
      </c>
      <c r="B21" s="71"/>
      <c r="C21" s="72"/>
      <c r="D21" s="698" t="s">
        <v>605</v>
      </c>
      <c r="E21" s="698"/>
      <c r="F21" s="698"/>
      <c r="G21" s="698"/>
      <c r="H21" s="698"/>
      <c r="I21" s="698"/>
      <c r="J21" s="1096"/>
    </row>
    <row r="22" spans="1:10" ht="29.45" customHeight="1" x14ac:dyDescent="0.2">
      <c r="A22" s="189"/>
      <c r="B22" s="191"/>
      <c r="C22" s="72"/>
      <c r="D22" s="698"/>
      <c r="E22" s="698"/>
      <c r="F22" s="698"/>
      <c r="G22" s="698"/>
      <c r="H22" s="698"/>
      <c r="I22" s="698"/>
      <c r="J22" s="1096"/>
    </row>
    <row r="23" spans="1:10" ht="30.6" customHeight="1" x14ac:dyDescent="0.2">
      <c r="A23" s="189"/>
      <c r="B23" s="74"/>
      <c r="C23" s="72"/>
      <c r="D23" s="698"/>
      <c r="E23" s="698"/>
      <c r="F23" s="698"/>
      <c r="G23" s="698"/>
      <c r="H23" s="698"/>
      <c r="I23" s="698"/>
      <c r="J23" s="1096"/>
    </row>
    <row r="24" spans="1:10" ht="10.9" customHeight="1" thickBot="1" x14ac:dyDescent="0.25">
      <c r="A24" s="189"/>
      <c r="B24" s="73"/>
      <c r="C24" s="72"/>
      <c r="D24" s="72"/>
      <c r="E24" s="72"/>
      <c r="F24" s="72"/>
      <c r="G24" s="72"/>
      <c r="H24" s="72"/>
      <c r="I24" s="72"/>
      <c r="J24" s="190"/>
    </row>
    <row r="25" spans="1:10" ht="15.6" customHeight="1" thickBot="1" x14ac:dyDescent="0.25">
      <c r="A25" s="189" t="s">
        <v>603</v>
      </c>
      <c r="B25" s="71" t="s">
        <v>23</v>
      </c>
      <c r="C25" s="72"/>
      <c r="D25" s="698" t="s">
        <v>604</v>
      </c>
      <c r="E25" s="698"/>
      <c r="F25" s="698"/>
      <c r="G25" s="698"/>
      <c r="H25" s="698"/>
      <c r="I25" s="698"/>
      <c r="J25" s="1096"/>
    </row>
    <row r="26" spans="1:10" ht="9" customHeight="1" x14ac:dyDescent="0.2">
      <c r="A26" s="189"/>
      <c r="B26" s="74"/>
      <c r="C26" s="72"/>
      <c r="D26" s="698"/>
      <c r="E26" s="698"/>
      <c r="F26" s="698"/>
      <c r="G26" s="698"/>
      <c r="H26" s="698"/>
      <c r="I26" s="698"/>
      <c r="J26" s="1096"/>
    </row>
    <row r="27" spans="1:10" ht="12.6" customHeight="1" thickBot="1" x14ac:dyDescent="0.25">
      <c r="A27" s="193"/>
      <c r="B27" s="193"/>
      <c r="C27" s="72"/>
      <c r="D27" s="698" t="s">
        <v>608</v>
      </c>
      <c r="E27" s="698"/>
      <c r="F27" s="698"/>
      <c r="G27" s="698"/>
      <c r="H27" s="698"/>
      <c r="I27" s="698"/>
      <c r="J27" s="1096"/>
    </row>
    <row r="28" spans="1:10" ht="14.45" customHeight="1" thickBot="1" x14ac:dyDescent="0.25">
      <c r="A28" s="189" t="s">
        <v>606</v>
      </c>
      <c r="B28" s="71" t="s">
        <v>23</v>
      </c>
      <c r="C28" s="72"/>
      <c r="D28" s="698"/>
      <c r="E28" s="698"/>
      <c r="F28" s="698"/>
      <c r="G28" s="698"/>
      <c r="H28" s="698"/>
      <c r="I28" s="698"/>
      <c r="J28" s="1096"/>
    </row>
    <row r="29" spans="1:10" ht="21.6" customHeight="1" x14ac:dyDescent="0.2">
      <c r="A29" s="189"/>
      <c r="B29" s="74"/>
      <c r="C29" s="72"/>
      <c r="D29" s="698"/>
      <c r="E29" s="698"/>
      <c r="F29" s="698"/>
      <c r="G29" s="698"/>
      <c r="H29" s="698"/>
      <c r="I29" s="698"/>
      <c r="J29" s="1096"/>
    </row>
    <row r="30" spans="1:10" ht="7.9" customHeight="1" thickBot="1" x14ac:dyDescent="0.25">
      <c r="A30" s="189"/>
      <c r="B30" s="73"/>
      <c r="C30" s="72"/>
      <c r="D30" s="72"/>
      <c r="E30" s="72"/>
      <c r="F30" s="72"/>
      <c r="G30" s="72"/>
      <c r="H30" s="72"/>
      <c r="I30" s="72"/>
      <c r="J30" s="190"/>
    </row>
    <row r="31" spans="1:10" ht="15.6" customHeight="1" thickBot="1" x14ac:dyDescent="0.25">
      <c r="A31" s="189" t="s">
        <v>607</v>
      </c>
      <c r="B31" s="71" t="s">
        <v>23</v>
      </c>
      <c r="C31" s="72"/>
      <c r="D31" s="698" t="s">
        <v>609</v>
      </c>
      <c r="E31" s="698"/>
      <c r="F31" s="698"/>
      <c r="G31" s="698"/>
      <c r="H31" s="698"/>
      <c r="I31" s="698"/>
      <c r="J31" s="1096"/>
    </row>
    <row r="32" spans="1:10" x14ac:dyDescent="0.2">
      <c r="A32" s="189"/>
      <c r="B32" s="191"/>
      <c r="C32" s="72"/>
      <c r="D32" s="698"/>
      <c r="E32" s="698"/>
      <c r="F32" s="698"/>
      <c r="G32" s="698"/>
      <c r="H32" s="698"/>
      <c r="I32" s="698"/>
      <c r="J32" s="1096"/>
    </row>
    <row r="33" spans="1:10" ht="9" customHeight="1" x14ac:dyDescent="0.2">
      <c r="A33" s="192"/>
      <c r="B33" s="78"/>
      <c r="C33" s="79"/>
      <c r="D33" s="1097"/>
      <c r="E33" s="1097"/>
      <c r="F33" s="1097"/>
      <c r="G33" s="1097"/>
      <c r="H33" s="1097"/>
      <c r="I33" s="1097"/>
      <c r="J33" s="1098"/>
    </row>
  </sheetData>
  <sheetProtection password="E686" sheet="1" objects="1" scenarios="1"/>
  <mergeCells count="12">
    <mergeCell ref="D31:J33"/>
    <mergeCell ref="A1:J2"/>
    <mergeCell ref="A3:J4"/>
    <mergeCell ref="D6:J7"/>
    <mergeCell ref="D9:J9"/>
    <mergeCell ref="D10:J10"/>
    <mergeCell ref="D12:J13"/>
    <mergeCell ref="D15:J16"/>
    <mergeCell ref="D18:J19"/>
    <mergeCell ref="D21:J23"/>
    <mergeCell ref="D25:J26"/>
    <mergeCell ref="D27:J29"/>
  </mergeCells>
  <pageMargins left="0.7" right="0.7" top="0.75" bottom="0.75" header="0.3" footer="0.3"/>
  <pageSetup scale="8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Sheet1!$A$4:$A$5</xm:f>
          </x14:formula1>
          <xm:sqref>B9 B12 B15 B18 B21 B25 B28 B31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91"/>
  <sheetViews>
    <sheetView zoomScaleNormal="100" workbookViewId="0">
      <selection activeCell="H17" sqref="H17:H31"/>
    </sheetView>
  </sheetViews>
  <sheetFormatPr defaultColWidth="9.140625" defaultRowHeight="12.75" x14ac:dyDescent="0.2"/>
  <cols>
    <col min="1" max="10" width="15.7109375" style="22" customWidth="1"/>
    <col min="11" max="16384" width="9.140625" style="22"/>
  </cols>
  <sheetData>
    <row r="1" spans="1:10" ht="13.5" thickTop="1" x14ac:dyDescent="0.2">
      <c r="A1" s="1132" t="s">
        <v>54</v>
      </c>
      <c r="B1" s="1133"/>
      <c r="C1" s="1133"/>
      <c r="D1" s="1133"/>
      <c r="E1" s="1133"/>
      <c r="F1" s="1133"/>
      <c r="G1" s="1133"/>
      <c r="H1" s="1133"/>
      <c r="I1" s="1134"/>
      <c r="J1" s="31"/>
    </row>
    <row r="2" spans="1:10" x14ac:dyDescent="0.2">
      <c r="A2" s="1135"/>
      <c r="B2" s="1136"/>
      <c r="C2" s="1136"/>
      <c r="D2" s="1136"/>
      <c r="E2" s="1136"/>
      <c r="F2" s="1136"/>
      <c r="G2" s="1136"/>
      <c r="H2" s="1136"/>
      <c r="I2" s="1137"/>
      <c r="J2" s="31"/>
    </row>
    <row r="3" spans="1:10" x14ac:dyDescent="0.2">
      <c r="A3" s="1138" t="s">
        <v>364</v>
      </c>
      <c r="B3" s="1139"/>
      <c r="C3" s="1139"/>
      <c r="D3" s="1139"/>
      <c r="E3" s="1139"/>
      <c r="F3" s="1139"/>
      <c r="G3" s="1139"/>
      <c r="H3" s="1139"/>
      <c r="I3" s="1140"/>
      <c r="J3" s="31"/>
    </row>
    <row r="4" spans="1:10" x14ac:dyDescent="0.2">
      <c r="A4" s="1138"/>
      <c r="B4" s="1139"/>
      <c r="C4" s="1139"/>
      <c r="D4" s="1139"/>
      <c r="E4" s="1139"/>
      <c r="F4" s="1139"/>
      <c r="G4" s="1139"/>
      <c r="H4" s="1139"/>
      <c r="I4" s="1140"/>
      <c r="J4" s="31"/>
    </row>
    <row r="5" spans="1:10" x14ac:dyDescent="0.2">
      <c r="A5" s="1138"/>
      <c r="B5" s="1139"/>
      <c r="C5" s="1139"/>
      <c r="D5" s="1139"/>
      <c r="E5" s="1139"/>
      <c r="F5" s="1139"/>
      <c r="G5" s="1139"/>
      <c r="H5" s="1139"/>
      <c r="I5" s="1140"/>
      <c r="J5" s="31"/>
    </row>
    <row r="6" spans="1:10" x14ac:dyDescent="0.2">
      <c r="A6" s="1138"/>
      <c r="B6" s="1139"/>
      <c r="C6" s="1139"/>
      <c r="D6" s="1139"/>
      <c r="E6" s="1139"/>
      <c r="F6" s="1139"/>
      <c r="G6" s="1139"/>
      <c r="H6" s="1139"/>
      <c r="I6" s="1140"/>
      <c r="J6" s="31"/>
    </row>
    <row r="7" spans="1:10" x14ac:dyDescent="0.2">
      <c r="A7" s="1138"/>
      <c r="B7" s="1139"/>
      <c r="C7" s="1139"/>
      <c r="D7" s="1139"/>
      <c r="E7" s="1139"/>
      <c r="F7" s="1139"/>
      <c r="G7" s="1139"/>
      <c r="H7" s="1139"/>
      <c r="I7" s="1140"/>
      <c r="J7" s="31"/>
    </row>
    <row r="8" spans="1:10" x14ac:dyDescent="0.2">
      <c r="A8" s="1138"/>
      <c r="B8" s="1139"/>
      <c r="C8" s="1139"/>
      <c r="D8" s="1139"/>
      <c r="E8" s="1139"/>
      <c r="F8" s="1139"/>
      <c r="G8" s="1139"/>
      <c r="H8" s="1139"/>
      <c r="I8" s="1140"/>
      <c r="J8" s="31"/>
    </row>
    <row r="9" spans="1:10" x14ac:dyDescent="0.2">
      <c r="A9" s="1141" t="s">
        <v>55</v>
      </c>
      <c r="B9" s="1142"/>
      <c r="C9" s="1143"/>
      <c r="D9" s="1150" t="s">
        <v>56</v>
      </c>
      <c r="E9" s="1150"/>
      <c r="F9" s="1150"/>
      <c r="G9" s="1150"/>
      <c r="H9" s="1150"/>
      <c r="I9" s="1151"/>
      <c r="J9" s="31"/>
    </row>
    <row r="10" spans="1:10" x14ac:dyDescent="0.2">
      <c r="A10" s="1144"/>
      <c r="B10" s="1145"/>
      <c r="C10" s="1146"/>
      <c r="D10" s="1150"/>
      <c r="E10" s="1150"/>
      <c r="F10" s="1150"/>
      <c r="G10" s="1150"/>
      <c r="H10" s="1150"/>
      <c r="I10" s="1151"/>
      <c r="J10" s="31"/>
    </row>
    <row r="11" spans="1:10" x14ac:dyDescent="0.2">
      <c r="A11" s="1144"/>
      <c r="B11" s="1145"/>
      <c r="C11" s="1146"/>
      <c r="D11" s="1150"/>
      <c r="E11" s="1150"/>
      <c r="F11" s="1150"/>
      <c r="G11" s="1150"/>
      <c r="H11" s="1150"/>
      <c r="I11" s="1151"/>
      <c r="J11" s="31"/>
    </row>
    <row r="12" spans="1:10" x14ac:dyDescent="0.2">
      <c r="A12" s="1144"/>
      <c r="B12" s="1145"/>
      <c r="C12" s="1146"/>
      <c r="D12" s="1150"/>
      <c r="E12" s="1150"/>
      <c r="F12" s="1150"/>
      <c r="G12" s="1150"/>
      <c r="H12" s="1150"/>
      <c r="I12" s="1151"/>
      <c r="J12" s="31"/>
    </row>
    <row r="13" spans="1:10" x14ac:dyDescent="0.2">
      <c r="A13" s="1144"/>
      <c r="B13" s="1145"/>
      <c r="C13" s="1146"/>
      <c r="D13" s="1150"/>
      <c r="E13" s="1150"/>
      <c r="F13" s="1150"/>
      <c r="G13" s="1150"/>
      <c r="H13" s="1150"/>
      <c r="I13" s="1151"/>
      <c r="J13" s="31"/>
    </row>
    <row r="14" spans="1:10" ht="15" customHeight="1" x14ac:dyDescent="0.2">
      <c r="A14" s="1144"/>
      <c r="B14" s="1145"/>
      <c r="C14" s="1146"/>
      <c r="D14" s="1152" t="s">
        <v>57</v>
      </c>
      <c r="E14" s="1155" t="s">
        <v>58</v>
      </c>
      <c r="F14" s="1155" t="s">
        <v>59</v>
      </c>
      <c r="G14" s="1155" t="s">
        <v>60</v>
      </c>
      <c r="H14" s="1155" t="s">
        <v>61</v>
      </c>
      <c r="I14" s="1156" t="s">
        <v>62</v>
      </c>
      <c r="J14" s="31"/>
    </row>
    <row r="15" spans="1:10" ht="15" customHeight="1" x14ac:dyDescent="0.2">
      <c r="A15" s="1144"/>
      <c r="B15" s="1145"/>
      <c r="C15" s="1146"/>
      <c r="D15" s="1153"/>
      <c r="E15" s="1155"/>
      <c r="F15" s="1155"/>
      <c r="G15" s="1155"/>
      <c r="H15" s="1155"/>
      <c r="I15" s="1156"/>
      <c r="J15" s="31"/>
    </row>
    <row r="16" spans="1:10" ht="15" customHeight="1" x14ac:dyDescent="0.2">
      <c r="A16" s="1147"/>
      <c r="B16" s="1148"/>
      <c r="C16" s="1149"/>
      <c r="D16" s="1154"/>
      <c r="E16" s="1155"/>
      <c r="F16" s="1155"/>
      <c r="G16" s="1155"/>
      <c r="H16" s="1155"/>
      <c r="I16" s="1156"/>
      <c r="J16" s="31"/>
    </row>
    <row r="17" spans="1:10" ht="12.75" customHeight="1" x14ac:dyDescent="0.2">
      <c r="A17" s="1129" t="s">
        <v>63</v>
      </c>
      <c r="B17" s="1110" t="s">
        <v>365</v>
      </c>
      <c r="C17" s="1111"/>
      <c r="D17" s="1116" t="s">
        <v>64</v>
      </c>
      <c r="E17" s="1128" t="s">
        <v>65</v>
      </c>
      <c r="F17" s="1128" t="s">
        <v>66</v>
      </c>
      <c r="G17" s="1128" t="s">
        <v>67</v>
      </c>
      <c r="H17" s="1128" t="s">
        <v>68</v>
      </c>
      <c r="I17" s="1109" t="s">
        <v>69</v>
      </c>
      <c r="J17" s="31"/>
    </row>
    <row r="18" spans="1:10" x14ac:dyDescent="0.2">
      <c r="A18" s="1129"/>
      <c r="B18" s="1112"/>
      <c r="C18" s="1113"/>
      <c r="D18" s="1117"/>
      <c r="E18" s="1128"/>
      <c r="F18" s="1128"/>
      <c r="G18" s="1128"/>
      <c r="H18" s="1128"/>
      <c r="I18" s="1109"/>
      <c r="J18" s="31"/>
    </row>
    <row r="19" spans="1:10" x14ac:dyDescent="0.2">
      <c r="A19" s="1129"/>
      <c r="B19" s="1112"/>
      <c r="C19" s="1113"/>
      <c r="D19" s="1117"/>
      <c r="E19" s="1128"/>
      <c r="F19" s="1128"/>
      <c r="G19" s="1128"/>
      <c r="H19" s="1128"/>
      <c r="I19" s="1109"/>
      <c r="J19" s="31"/>
    </row>
    <row r="20" spans="1:10" x14ac:dyDescent="0.2">
      <c r="A20" s="1129"/>
      <c r="B20" s="1112"/>
      <c r="C20" s="1113"/>
      <c r="D20" s="1117"/>
      <c r="E20" s="1128"/>
      <c r="F20" s="1128"/>
      <c r="G20" s="1128"/>
      <c r="H20" s="1128"/>
      <c r="I20" s="1109"/>
      <c r="J20" s="31"/>
    </row>
    <row r="21" spans="1:10" x14ac:dyDescent="0.2">
      <c r="A21" s="1129"/>
      <c r="B21" s="1112"/>
      <c r="C21" s="1113"/>
      <c r="D21" s="1117"/>
      <c r="E21" s="1128"/>
      <c r="F21" s="1128"/>
      <c r="G21" s="1128"/>
      <c r="H21" s="1128"/>
      <c r="I21" s="1109"/>
      <c r="J21" s="31"/>
    </row>
    <row r="22" spans="1:10" x14ac:dyDescent="0.2">
      <c r="A22" s="1129"/>
      <c r="B22" s="1112"/>
      <c r="C22" s="1113"/>
      <c r="D22" s="1117"/>
      <c r="E22" s="1128"/>
      <c r="F22" s="1128"/>
      <c r="G22" s="1128"/>
      <c r="H22" s="1128"/>
      <c r="I22" s="1109"/>
      <c r="J22" s="31"/>
    </row>
    <row r="23" spans="1:10" x14ac:dyDescent="0.2">
      <c r="A23" s="1129"/>
      <c r="B23" s="1112"/>
      <c r="C23" s="1113"/>
      <c r="D23" s="1117"/>
      <c r="E23" s="1128"/>
      <c r="F23" s="1128"/>
      <c r="G23" s="1128"/>
      <c r="H23" s="1128"/>
      <c r="I23" s="1109"/>
      <c r="J23" s="31"/>
    </row>
    <row r="24" spans="1:10" x14ac:dyDescent="0.2">
      <c r="A24" s="1129"/>
      <c r="B24" s="1112"/>
      <c r="C24" s="1113"/>
      <c r="D24" s="1117"/>
      <c r="E24" s="1128"/>
      <c r="F24" s="1128"/>
      <c r="G24" s="1128"/>
      <c r="H24" s="1128"/>
      <c r="I24" s="1109"/>
      <c r="J24" s="31"/>
    </row>
    <row r="25" spans="1:10" x14ac:dyDescent="0.2">
      <c r="A25" s="1129"/>
      <c r="B25" s="1112"/>
      <c r="C25" s="1113"/>
      <c r="D25" s="1117"/>
      <c r="E25" s="1128"/>
      <c r="F25" s="1128"/>
      <c r="G25" s="1128"/>
      <c r="H25" s="1128"/>
      <c r="I25" s="1109"/>
      <c r="J25" s="31"/>
    </row>
    <row r="26" spans="1:10" x14ac:dyDescent="0.2">
      <c r="A26" s="1129"/>
      <c r="B26" s="1112"/>
      <c r="C26" s="1113"/>
      <c r="D26" s="1117"/>
      <c r="E26" s="1128"/>
      <c r="F26" s="1128"/>
      <c r="G26" s="1128"/>
      <c r="H26" s="1128"/>
      <c r="I26" s="1109"/>
      <c r="J26" s="31"/>
    </row>
    <row r="27" spans="1:10" x14ac:dyDescent="0.2">
      <c r="A27" s="1129"/>
      <c r="B27" s="1112"/>
      <c r="C27" s="1113"/>
      <c r="D27" s="1117"/>
      <c r="E27" s="1128"/>
      <c r="F27" s="1128"/>
      <c r="G27" s="1128"/>
      <c r="H27" s="1128"/>
      <c r="I27" s="1109"/>
      <c r="J27" s="31"/>
    </row>
    <row r="28" spans="1:10" x14ac:dyDescent="0.2">
      <c r="A28" s="1129"/>
      <c r="B28" s="1112"/>
      <c r="C28" s="1113"/>
      <c r="D28" s="1117"/>
      <c r="E28" s="1128"/>
      <c r="F28" s="1128"/>
      <c r="G28" s="1128"/>
      <c r="H28" s="1128"/>
      <c r="I28" s="1109"/>
      <c r="J28" s="31"/>
    </row>
    <row r="29" spans="1:10" x14ac:dyDescent="0.2">
      <c r="A29" s="1129"/>
      <c r="B29" s="1112"/>
      <c r="C29" s="1113"/>
      <c r="D29" s="1117"/>
      <c r="E29" s="1128"/>
      <c r="F29" s="1128"/>
      <c r="G29" s="1128"/>
      <c r="H29" s="1128"/>
      <c r="I29" s="1109"/>
      <c r="J29" s="31"/>
    </row>
    <row r="30" spans="1:10" x14ac:dyDescent="0.2">
      <c r="A30" s="1129"/>
      <c r="B30" s="1112"/>
      <c r="C30" s="1113"/>
      <c r="D30" s="1117"/>
      <c r="E30" s="1128"/>
      <c r="F30" s="1128"/>
      <c r="G30" s="1128"/>
      <c r="H30" s="1128"/>
      <c r="I30" s="1109"/>
      <c r="J30" s="31"/>
    </row>
    <row r="31" spans="1:10" x14ac:dyDescent="0.2">
      <c r="A31" s="1129"/>
      <c r="B31" s="1123"/>
      <c r="C31" s="1124"/>
      <c r="D31" s="1131"/>
      <c r="E31" s="1128"/>
      <c r="F31" s="1128"/>
      <c r="G31" s="1128"/>
      <c r="H31" s="1128"/>
      <c r="I31" s="1109"/>
      <c r="J31" s="31"/>
    </row>
    <row r="32" spans="1:10" ht="12.75" customHeight="1" x14ac:dyDescent="0.2">
      <c r="A32" s="1129"/>
      <c r="B32" s="1110" t="s">
        <v>70</v>
      </c>
      <c r="C32" s="1111"/>
      <c r="D32" s="1125" t="s">
        <v>71</v>
      </c>
      <c r="E32" s="1128" t="s">
        <v>366</v>
      </c>
      <c r="F32" s="1128" t="s">
        <v>72</v>
      </c>
      <c r="G32" s="1128" t="s">
        <v>73</v>
      </c>
      <c r="H32" s="1128" t="s">
        <v>68</v>
      </c>
      <c r="I32" s="1109" t="s">
        <v>69</v>
      </c>
      <c r="J32" s="31"/>
    </row>
    <row r="33" spans="1:10" x14ac:dyDescent="0.2">
      <c r="A33" s="1129"/>
      <c r="B33" s="1112"/>
      <c r="C33" s="1113"/>
      <c r="D33" s="1126"/>
      <c r="E33" s="1128"/>
      <c r="F33" s="1128"/>
      <c r="G33" s="1128"/>
      <c r="H33" s="1128"/>
      <c r="I33" s="1109"/>
      <c r="J33" s="31"/>
    </row>
    <row r="34" spans="1:10" x14ac:dyDescent="0.2">
      <c r="A34" s="1129"/>
      <c r="B34" s="1112"/>
      <c r="C34" s="1113"/>
      <c r="D34" s="1126"/>
      <c r="E34" s="1128"/>
      <c r="F34" s="1128"/>
      <c r="G34" s="1128"/>
      <c r="H34" s="1128"/>
      <c r="I34" s="1109"/>
      <c r="J34" s="31"/>
    </row>
    <row r="35" spans="1:10" x14ac:dyDescent="0.2">
      <c r="A35" s="1129"/>
      <c r="B35" s="1112"/>
      <c r="C35" s="1113"/>
      <c r="D35" s="1126"/>
      <c r="E35" s="1128"/>
      <c r="F35" s="1128"/>
      <c r="G35" s="1128"/>
      <c r="H35" s="1128"/>
      <c r="I35" s="1109"/>
      <c r="J35" s="31"/>
    </row>
    <row r="36" spans="1:10" x14ac:dyDescent="0.2">
      <c r="A36" s="1129"/>
      <c r="B36" s="1112"/>
      <c r="C36" s="1113"/>
      <c r="D36" s="1126"/>
      <c r="E36" s="1128"/>
      <c r="F36" s="1128"/>
      <c r="G36" s="1128"/>
      <c r="H36" s="1128"/>
      <c r="I36" s="1109"/>
      <c r="J36" s="31"/>
    </row>
    <row r="37" spans="1:10" x14ac:dyDescent="0.2">
      <c r="A37" s="1129"/>
      <c r="B37" s="1112"/>
      <c r="C37" s="1113"/>
      <c r="D37" s="1126"/>
      <c r="E37" s="1128"/>
      <c r="F37" s="1128"/>
      <c r="G37" s="1128"/>
      <c r="H37" s="1128"/>
      <c r="I37" s="1109"/>
      <c r="J37" s="31"/>
    </row>
    <row r="38" spans="1:10" x14ac:dyDescent="0.2">
      <c r="A38" s="1129"/>
      <c r="B38" s="1112"/>
      <c r="C38" s="1113"/>
      <c r="D38" s="1126"/>
      <c r="E38" s="1128"/>
      <c r="F38" s="1128"/>
      <c r="G38" s="1128"/>
      <c r="H38" s="1128"/>
      <c r="I38" s="1109"/>
      <c r="J38" s="31"/>
    </row>
    <row r="39" spans="1:10" x14ac:dyDescent="0.2">
      <c r="A39" s="1129"/>
      <c r="B39" s="1112"/>
      <c r="C39" s="1113"/>
      <c r="D39" s="1126"/>
      <c r="E39" s="1128"/>
      <c r="F39" s="1128"/>
      <c r="G39" s="1128"/>
      <c r="H39" s="1128"/>
      <c r="I39" s="1109"/>
      <c r="J39" s="31"/>
    </row>
    <row r="40" spans="1:10" x14ac:dyDescent="0.2">
      <c r="A40" s="1129"/>
      <c r="B40" s="1112"/>
      <c r="C40" s="1113"/>
      <c r="D40" s="1126"/>
      <c r="E40" s="1128"/>
      <c r="F40" s="1128"/>
      <c r="G40" s="1128"/>
      <c r="H40" s="1128"/>
      <c r="I40" s="1109"/>
      <c r="J40" s="31"/>
    </row>
    <row r="41" spans="1:10" x14ac:dyDescent="0.2">
      <c r="A41" s="1129"/>
      <c r="B41" s="1112"/>
      <c r="C41" s="1113"/>
      <c r="D41" s="1126"/>
      <c r="E41" s="1128"/>
      <c r="F41" s="1128"/>
      <c r="G41" s="1128"/>
      <c r="H41" s="1128"/>
      <c r="I41" s="1109"/>
      <c r="J41" s="31"/>
    </row>
    <row r="42" spans="1:10" x14ac:dyDescent="0.2">
      <c r="A42" s="1129"/>
      <c r="B42" s="1112"/>
      <c r="C42" s="1113"/>
      <c r="D42" s="1126"/>
      <c r="E42" s="1128"/>
      <c r="F42" s="1128"/>
      <c r="G42" s="1128"/>
      <c r="H42" s="1128"/>
      <c r="I42" s="1109"/>
      <c r="J42" s="31"/>
    </row>
    <row r="43" spans="1:10" x14ac:dyDescent="0.2">
      <c r="A43" s="1129"/>
      <c r="B43" s="1112"/>
      <c r="C43" s="1113"/>
      <c r="D43" s="1126"/>
      <c r="E43" s="1128"/>
      <c r="F43" s="1128"/>
      <c r="G43" s="1128"/>
      <c r="H43" s="1128"/>
      <c r="I43" s="1109"/>
      <c r="J43" s="31"/>
    </row>
    <row r="44" spans="1:10" x14ac:dyDescent="0.2">
      <c r="A44" s="1129"/>
      <c r="B44" s="1112"/>
      <c r="C44" s="1113"/>
      <c r="D44" s="1126"/>
      <c r="E44" s="1128"/>
      <c r="F44" s="1128"/>
      <c r="G44" s="1128"/>
      <c r="H44" s="1128"/>
      <c r="I44" s="1109"/>
      <c r="J44" s="31"/>
    </row>
    <row r="45" spans="1:10" x14ac:dyDescent="0.2">
      <c r="A45" s="1129"/>
      <c r="B45" s="1112"/>
      <c r="C45" s="1113"/>
      <c r="D45" s="1126"/>
      <c r="E45" s="1128"/>
      <c r="F45" s="1128"/>
      <c r="G45" s="1128"/>
      <c r="H45" s="1128"/>
      <c r="I45" s="1109"/>
      <c r="J45" s="31"/>
    </row>
    <row r="46" spans="1:10" x14ac:dyDescent="0.2">
      <c r="A46" s="1129"/>
      <c r="B46" s="1112"/>
      <c r="C46" s="1113"/>
      <c r="D46" s="1126"/>
      <c r="E46" s="1128"/>
      <c r="F46" s="1128"/>
      <c r="G46" s="1128"/>
      <c r="H46" s="1128"/>
      <c r="I46" s="1109"/>
      <c r="J46" s="31"/>
    </row>
    <row r="47" spans="1:10" x14ac:dyDescent="0.2">
      <c r="A47" s="1129"/>
      <c r="B47" s="1112"/>
      <c r="C47" s="1113"/>
      <c r="D47" s="1126"/>
      <c r="E47" s="1128"/>
      <c r="F47" s="1128"/>
      <c r="G47" s="1128"/>
      <c r="H47" s="1128"/>
      <c r="I47" s="1109"/>
      <c r="J47" s="31"/>
    </row>
    <row r="48" spans="1:10" x14ac:dyDescent="0.2">
      <c r="A48" s="1129"/>
      <c r="B48" s="1112"/>
      <c r="C48" s="1113"/>
      <c r="D48" s="1126"/>
      <c r="E48" s="1128"/>
      <c r="F48" s="1128"/>
      <c r="G48" s="1128"/>
      <c r="H48" s="1128"/>
      <c r="I48" s="1109"/>
      <c r="J48" s="31"/>
    </row>
    <row r="49" spans="1:10" x14ac:dyDescent="0.2">
      <c r="A49" s="1129"/>
      <c r="B49" s="1112"/>
      <c r="C49" s="1113"/>
      <c r="D49" s="1126"/>
      <c r="E49" s="1128"/>
      <c r="F49" s="1128"/>
      <c r="G49" s="1128"/>
      <c r="H49" s="1128"/>
      <c r="I49" s="1109"/>
      <c r="J49" s="31"/>
    </row>
    <row r="50" spans="1:10" x14ac:dyDescent="0.2">
      <c r="A50" s="1129"/>
      <c r="B50" s="1123"/>
      <c r="C50" s="1124"/>
      <c r="D50" s="1127"/>
      <c r="E50" s="1128"/>
      <c r="F50" s="1128"/>
      <c r="G50" s="1128"/>
      <c r="H50" s="1128"/>
      <c r="I50" s="1109"/>
      <c r="J50" s="31"/>
    </row>
    <row r="51" spans="1:10" ht="12.75" customHeight="1" x14ac:dyDescent="0.2">
      <c r="A51" s="1129"/>
      <c r="B51" s="1110" t="s">
        <v>362</v>
      </c>
      <c r="C51" s="1111"/>
      <c r="D51" s="1125" t="s">
        <v>74</v>
      </c>
      <c r="E51" s="1128" t="s">
        <v>75</v>
      </c>
      <c r="F51" s="1128" t="s">
        <v>76</v>
      </c>
      <c r="G51" s="1128" t="s">
        <v>77</v>
      </c>
      <c r="H51" s="1128" t="s">
        <v>68</v>
      </c>
      <c r="I51" s="1109" t="s">
        <v>361</v>
      </c>
      <c r="J51" s="31"/>
    </row>
    <row r="52" spans="1:10" x14ac:dyDescent="0.2">
      <c r="A52" s="1129"/>
      <c r="B52" s="1112"/>
      <c r="C52" s="1113"/>
      <c r="D52" s="1126"/>
      <c r="E52" s="1128"/>
      <c r="F52" s="1128"/>
      <c r="G52" s="1128"/>
      <c r="H52" s="1128"/>
      <c r="I52" s="1109"/>
      <c r="J52" s="31"/>
    </row>
    <row r="53" spans="1:10" x14ac:dyDescent="0.2">
      <c r="A53" s="1129"/>
      <c r="B53" s="1112"/>
      <c r="C53" s="1113"/>
      <c r="D53" s="1126"/>
      <c r="E53" s="1128"/>
      <c r="F53" s="1128"/>
      <c r="G53" s="1128"/>
      <c r="H53" s="1128"/>
      <c r="I53" s="1109"/>
      <c r="J53" s="31"/>
    </row>
    <row r="54" spans="1:10" x14ac:dyDescent="0.2">
      <c r="A54" s="1129"/>
      <c r="B54" s="1112"/>
      <c r="C54" s="1113"/>
      <c r="D54" s="1126"/>
      <c r="E54" s="1128"/>
      <c r="F54" s="1128"/>
      <c r="G54" s="1128"/>
      <c r="H54" s="1128"/>
      <c r="I54" s="1109"/>
      <c r="J54" s="31"/>
    </row>
    <row r="55" spans="1:10" x14ac:dyDescent="0.2">
      <c r="A55" s="1129"/>
      <c r="B55" s="1112"/>
      <c r="C55" s="1113"/>
      <c r="D55" s="1126"/>
      <c r="E55" s="1128"/>
      <c r="F55" s="1128"/>
      <c r="G55" s="1128"/>
      <c r="H55" s="1128"/>
      <c r="I55" s="1109"/>
      <c r="J55" s="31"/>
    </row>
    <row r="56" spans="1:10" x14ac:dyDescent="0.2">
      <c r="A56" s="1129"/>
      <c r="B56" s="1112"/>
      <c r="C56" s="1113"/>
      <c r="D56" s="1126"/>
      <c r="E56" s="1128"/>
      <c r="F56" s="1128"/>
      <c r="G56" s="1128"/>
      <c r="H56" s="1128"/>
      <c r="I56" s="1109"/>
      <c r="J56" s="31"/>
    </row>
    <row r="57" spans="1:10" x14ac:dyDescent="0.2">
      <c r="A57" s="1129"/>
      <c r="B57" s="1112"/>
      <c r="C57" s="1113"/>
      <c r="D57" s="1126"/>
      <c r="E57" s="1128"/>
      <c r="F57" s="1128"/>
      <c r="G57" s="1128"/>
      <c r="H57" s="1128"/>
      <c r="I57" s="1109"/>
      <c r="J57" s="31"/>
    </row>
    <row r="58" spans="1:10" x14ac:dyDescent="0.2">
      <c r="A58" s="1129"/>
      <c r="B58" s="1112"/>
      <c r="C58" s="1113"/>
      <c r="D58" s="1126"/>
      <c r="E58" s="1128"/>
      <c r="F58" s="1128"/>
      <c r="G58" s="1128"/>
      <c r="H58" s="1128"/>
      <c r="I58" s="1109"/>
      <c r="J58" s="31"/>
    </row>
    <row r="59" spans="1:10" x14ac:dyDescent="0.2">
      <c r="A59" s="1129"/>
      <c r="B59" s="1112"/>
      <c r="C59" s="1113"/>
      <c r="D59" s="1126"/>
      <c r="E59" s="1128"/>
      <c r="F59" s="1128"/>
      <c r="G59" s="1128"/>
      <c r="H59" s="1128"/>
      <c r="I59" s="1109"/>
      <c r="J59" s="31"/>
    </row>
    <row r="60" spans="1:10" x14ac:dyDescent="0.2">
      <c r="A60" s="1129"/>
      <c r="B60" s="1112"/>
      <c r="C60" s="1113"/>
      <c r="D60" s="1126"/>
      <c r="E60" s="1128"/>
      <c r="F60" s="1128"/>
      <c r="G60" s="1128"/>
      <c r="H60" s="1128"/>
      <c r="I60" s="1109"/>
      <c r="J60" s="31"/>
    </row>
    <row r="61" spans="1:10" x14ac:dyDescent="0.2">
      <c r="A61" s="1129"/>
      <c r="B61" s="1112"/>
      <c r="C61" s="1113"/>
      <c r="D61" s="1126"/>
      <c r="E61" s="1128"/>
      <c r="F61" s="1128"/>
      <c r="G61" s="1128"/>
      <c r="H61" s="1128"/>
      <c r="I61" s="1109"/>
      <c r="J61" s="31"/>
    </row>
    <row r="62" spans="1:10" x14ac:dyDescent="0.2">
      <c r="A62" s="1129"/>
      <c r="B62" s="1112"/>
      <c r="C62" s="1113"/>
      <c r="D62" s="1126"/>
      <c r="E62" s="1128"/>
      <c r="F62" s="1128"/>
      <c r="G62" s="1128"/>
      <c r="H62" s="1128"/>
      <c r="I62" s="1109"/>
      <c r="J62" s="31"/>
    </row>
    <row r="63" spans="1:10" x14ac:dyDescent="0.2">
      <c r="A63" s="1129"/>
      <c r="B63" s="1123"/>
      <c r="C63" s="1124"/>
      <c r="D63" s="1127"/>
      <c r="E63" s="1128"/>
      <c r="F63" s="1128"/>
      <c r="G63" s="1128"/>
      <c r="H63" s="1128"/>
      <c r="I63" s="1109"/>
      <c r="J63" s="31"/>
    </row>
    <row r="64" spans="1:10" ht="12.75" customHeight="1" x14ac:dyDescent="0.2">
      <c r="A64" s="1129"/>
      <c r="B64" s="1110" t="s">
        <v>78</v>
      </c>
      <c r="C64" s="1111"/>
      <c r="D64" s="1125" t="s">
        <v>79</v>
      </c>
      <c r="E64" s="1128" t="s">
        <v>80</v>
      </c>
      <c r="F64" s="1128" t="s">
        <v>81</v>
      </c>
      <c r="G64" s="1128" t="s">
        <v>82</v>
      </c>
      <c r="H64" s="1128" t="s">
        <v>68</v>
      </c>
      <c r="I64" s="1109" t="s">
        <v>361</v>
      </c>
      <c r="J64" s="31"/>
    </row>
    <row r="65" spans="1:10" x14ac:dyDescent="0.2">
      <c r="A65" s="1129"/>
      <c r="B65" s="1112"/>
      <c r="C65" s="1113"/>
      <c r="D65" s="1126"/>
      <c r="E65" s="1128"/>
      <c r="F65" s="1128"/>
      <c r="G65" s="1128"/>
      <c r="H65" s="1128"/>
      <c r="I65" s="1109"/>
      <c r="J65" s="31"/>
    </row>
    <row r="66" spans="1:10" x14ac:dyDescent="0.2">
      <c r="A66" s="1129"/>
      <c r="B66" s="1112"/>
      <c r="C66" s="1113"/>
      <c r="D66" s="1126"/>
      <c r="E66" s="1128"/>
      <c r="F66" s="1128"/>
      <c r="G66" s="1128"/>
      <c r="H66" s="1128"/>
      <c r="I66" s="1109"/>
      <c r="J66" s="31"/>
    </row>
    <row r="67" spans="1:10" x14ac:dyDescent="0.2">
      <c r="A67" s="1129"/>
      <c r="B67" s="1112"/>
      <c r="C67" s="1113"/>
      <c r="D67" s="1126"/>
      <c r="E67" s="1128"/>
      <c r="F67" s="1128"/>
      <c r="G67" s="1128"/>
      <c r="H67" s="1128"/>
      <c r="I67" s="1109"/>
      <c r="J67" s="31"/>
    </row>
    <row r="68" spans="1:10" x14ac:dyDescent="0.2">
      <c r="A68" s="1129"/>
      <c r="B68" s="1112"/>
      <c r="C68" s="1113"/>
      <c r="D68" s="1126"/>
      <c r="E68" s="1128"/>
      <c r="F68" s="1128"/>
      <c r="G68" s="1128"/>
      <c r="H68" s="1128"/>
      <c r="I68" s="1109"/>
      <c r="J68" s="31"/>
    </row>
    <row r="69" spans="1:10" x14ac:dyDescent="0.2">
      <c r="A69" s="1129"/>
      <c r="B69" s="1112"/>
      <c r="C69" s="1113"/>
      <c r="D69" s="1126"/>
      <c r="E69" s="1128"/>
      <c r="F69" s="1128"/>
      <c r="G69" s="1128"/>
      <c r="H69" s="1128"/>
      <c r="I69" s="1109"/>
      <c r="J69" s="31"/>
    </row>
    <row r="70" spans="1:10" x14ac:dyDescent="0.2">
      <c r="A70" s="1129"/>
      <c r="B70" s="1112"/>
      <c r="C70" s="1113"/>
      <c r="D70" s="1126"/>
      <c r="E70" s="1128"/>
      <c r="F70" s="1128"/>
      <c r="G70" s="1128"/>
      <c r="H70" s="1128"/>
      <c r="I70" s="1109"/>
      <c r="J70" s="31"/>
    </row>
    <row r="71" spans="1:10" x14ac:dyDescent="0.2">
      <c r="A71" s="1129"/>
      <c r="B71" s="1112"/>
      <c r="C71" s="1113"/>
      <c r="D71" s="1126"/>
      <c r="E71" s="1128"/>
      <c r="F71" s="1128"/>
      <c r="G71" s="1128"/>
      <c r="H71" s="1128"/>
      <c r="I71" s="1109"/>
      <c r="J71" s="31"/>
    </row>
    <row r="72" spans="1:10" x14ac:dyDescent="0.2">
      <c r="A72" s="1129"/>
      <c r="B72" s="1112"/>
      <c r="C72" s="1113"/>
      <c r="D72" s="1126"/>
      <c r="E72" s="1128"/>
      <c r="F72" s="1128"/>
      <c r="G72" s="1128"/>
      <c r="H72" s="1128"/>
      <c r="I72" s="1109"/>
      <c r="J72" s="31"/>
    </row>
    <row r="73" spans="1:10" x14ac:dyDescent="0.2">
      <c r="A73" s="1129"/>
      <c r="B73" s="1123"/>
      <c r="C73" s="1124"/>
      <c r="D73" s="1127"/>
      <c r="E73" s="1128"/>
      <c r="F73" s="1128"/>
      <c r="G73" s="1128"/>
      <c r="H73" s="1128"/>
      <c r="I73" s="1109"/>
      <c r="J73" s="31"/>
    </row>
    <row r="74" spans="1:10" ht="12.75" customHeight="1" x14ac:dyDescent="0.2">
      <c r="A74" s="1129"/>
      <c r="B74" s="1110" t="s">
        <v>83</v>
      </c>
      <c r="C74" s="1111"/>
      <c r="D74" s="1125" t="s">
        <v>84</v>
      </c>
      <c r="E74" s="1128" t="s">
        <v>80</v>
      </c>
      <c r="F74" s="1128" t="s">
        <v>85</v>
      </c>
      <c r="G74" s="1128" t="s">
        <v>82</v>
      </c>
      <c r="H74" s="1128" t="s">
        <v>68</v>
      </c>
      <c r="I74" s="1109" t="s">
        <v>361</v>
      </c>
      <c r="J74" s="31"/>
    </row>
    <row r="75" spans="1:10" x14ac:dyDescent="0.2">
      <c r="A75" s="1129"/>
      <c r="B75" s="1112"/>
      <c r="C75" s="1113"/>
      <c r="D75" s="1126"/>
      <c r="E75" s="1128"/>
      <c r="F75" s="1128"/>
      <c r="G75" s="1128"/>
      <c r="H75" s="1128"/>
      <c r="I75" s="1109"/>
      <c r="J75" s="31"/>
    </row>
    <row r="76" spans="1:10" x14ac:dyDescent="0.2">
      <c r="A76" s="1129"/>
      <c r="B76" s="1112"/>
      <c r="C76" s="1113"/>
      <c r="D76" s="1126"/>
      <c r="E76" s="1128"/>
      <c r="F76" s="1128"/>
      <c r="G76" s="1128"/>
      <c r="H76" s="1128"/>
      <c r="I76" s="1109"/>
      <c r="J76" s="31"/>
    </row>
    <row r="77" spans="1:10" x14ac:dyDescent="0.2">
      <c r="A77" s="1129"/>
      <c r="B77" s="1112"/>
      <c r="C77" s="1113"/>
      <c r="D77" s="1126"/>
      <c r="E77" s="1128"/>
      <c r="F77" s="1128"/>
      <c r="G77" s="1128"/>
      <c r="H77" s="1128"/>
      <c r="I77" s="1109"/>
      <c r="J77" s="31"/>
    </row>
    <row r="78" spans="1:10" x14ac:dyDescent="0.2">
      <c r="A78" s="1129"/>
      <c r="B78" s="1112"/>
      <c r="C78" s="1113"/>
      <c r="D78" s="1126"/>
      <c r="E78" s="1128"/>
      <c r="F78" s="1128"/>
      <c r="G78" s="1128"/>
      <c r="H78" s="1128"/>
      <c r="I78" s="1109"/>
      <c r="J78" s="31"/>
    </row>
    <row r="79" spans="1:10" x14ac:dyDescent="0.2">
      <c r="A79" s="1129"/>
      <c r="B79" s="1112"/>
      <c r="C79" s="1113"/>
      <c r="D79" s="1126"/>
      <c r="E79" s="1128"/>
      <c r="F79" s="1128"/>
      <c r="G79" s="1128"/>
      <c r="H79" s="1128"/>
      <c r="I79" s="1109"/>
      <c r="J79" s="31"/>
    </row>
    <row r="80" spans="1:10" x14ac:dyDescent="0.2">
      <c r="A80" s="1129"/>
      <c r="B80" s="1112"/>
      <c r="C80" s="1113"/>
      <c r="D80" s="1126"/>
      <c r="E80" s="1128"/>
      <c r="F80" s="1128"/>
      <c r="G80" s="1128"/>
      <c r="H80" s="1128"/>
      <c r="I80" s="1109"/>
      <c r="J80" s="31"/>
    </row>
    <row r="81" spans="1:10" x14ac:dyDescent="0.2">
      <c r="A81" s="1129"/>
      <c r="B81" s="1112"/>
      <c r="C81" s="1113"/>
      <c r="D81" s="1126"/>
      <c r="E81" s="1128"/>
      <c r="F81" s="1128"/>
      <c r="G81" s="1128"/>
      <c r="H81" s="1128"/>
      <c r="I81" s="1109"/>
      <c r="J81" s="31"/>
    </row>
    <row r="82" spans="1:10" x14ac:dyDescent="0.2">
      <c r="A82" s="1129"/>
      <c r="B82" s="1112"/>
      <c r="C82" s="1113"/>
      <c r="D82" s="1126"/>
      <c r="E82" s="1128"/>
      <c r="F82" s="1128"/>
      <c r="G82" s="1128"/>
      <c r="H82" s="1128"/>
      <c r="I82" s="1109"/>
      <c r="J82" s="31"/>
    </row>
    <row r="83" spans="1:10" x14ac:dyDescent="0.2">
      <c r="A83" s="1129"/>
      <c r="B83" s="1123"/>
      <c r="C83" s="1124"/>
      <c r="D83" s="1127"/>
      <c r="E83" s="1128"/>
      <c r="F83" s="1128"/>
      <c r="G83" s="1128"/>
      <c r="H83" s="1128"/>
      <c r="I83" s="1109"/>
      <c r="J83" s="31"/>
    </row>
    <row r="84" spans="1:10" ht="25.5" customHeight="1" x14ac:dyDescent="0.2">
      <c r="A84" s="1129"/>
      <c r="B84" s="1110" t="s">
        <v>86</v>
      </c>
      <c r="C84" s="1111"/>
      <c r="D84" s="1116" t="s">
        <v>87</v>
      </c>
      <c r="E84" s="1119" t="s">
        <v>58</v>
      </c>
      <c r="F84" s="1119" t="s">
        <v>88</v>
      </c>
      <c r="G84" s="1119" t="s">
        <v>89</v>
      </c>
      <c r="H84" s="1119" t="s">
        <v>68</v>
      </c>
      <c r="I84" s="1121" t="s">
        <v>361</v>
      </c>
      <c r="J84" s="31"/>
    </row>
    <row r="85" spans="1:10" x14ac:dyDescent="0.2">
      <c r="A85" s="1129"/>
      <c r="B85" s="1112"/>
      <c r="C85" s="1113"/>
      <c r="D85" s="1117"/>
      <c r="E85" s="1119"/>
      <c r="F85" s="1119"/>
      <c r="G85" s="1119"/>
      <c r="H85" s="1119"/>
      <c r="I85" s="1121"/>
      <c r="J85" s="31"/>
    </row>
    <row r="86" spans="1:10" x14ac:dyDescent="0.2">
      <c r="A86" s="1129"/>
      <c r="B86" s="1112"/>
      <c r="C86" s="1113"/>
      <c r="D86" s="1117"/>
      <c r="E86" s="1119"/>
      <c r="F86" s="1119"/>
      <c r="G86" s="1119"/>
      <c r="H86" s="1119"/>
      <c r="I86" s="1121"/>
      <c r="J86" s="31"/>
    </row>
    <row r="87" spans="1:10" x14ac:dyDescent="0.2">
      <c r="A87" s="1129"/>
      <c r="B87" s="1112"/>
      <c r="C87" s="1113"/>
      <c r="D87" s="1117"/>
      <c r="E87" s="1119"/>
      <c r="F87" s="1119"/>
      <c r="G87" s="1119"/>
      <c r="H87" s="1119"/>
      <c r="I87" s="1121"/>
      <c r="J87" s="31"/>
    </row>
    <row r="88" spans="1:10" ht="12.75" customHeight="1" x14ac:dyDescent="0.2">
      <c r="A88" s="1129"/>
      <c r="B88" s="1112"/>
      <c r="C88" s="1113"/>
      <c r="D88" s="1117"/>
      <c r="E88" s="1119"/>
      <c r="F88" s="1119"/>
      <c r="G88" s="1119"/>
      <c r="H88" s="1119"/>
      <c r="I88" s="1121"/>
      <c r="J88" s="31"/>
    </row>
    <row r="89" spans="1:10" x14ac:dyDescent="0.2">
      <c r="A89" s="1129"/>
      <c r="B89" s="1112"/>
      <c r="C89" s="1113"/>
      <c r="D89" s="1117"/>
      <c r="E89" s="1119"/>
      <c r="F89" s="1119"/>
      <c r="G89" s="1119"/>
      <c r="H89" s="1119"/>
      <c r="I89" s="1121"/>
      <c r="J89" s="31"/>
    </row>
    <row r="90" spans="1:10" ht="13.5" thickBot="1" x14ac:dyDescent="0.25">
      <c r="A90" s="1130"/>
      <c r="B90" s="1114"/>
      <c r="C90" s="1115"/>
      <c r="D90" s="1118"/>
      <c r="E90" s="1120"/>
      <c r="F90" s="1120"/>
      <c r="G90" s="1120"/>
      <c r="H90" s="1120"/>
      <c r="I90" s="1122"/>
      <c r="J90" s="31"/>
    </row>
    <row r="91" spans="1:10" ht="13.5" thickTop="1" x14ac:dyDescent="0.2"/>
  </sheetData>
  <sheetProtection password="E686" sheet="1"/>
  <mergeCells count="53">
    <mergeCell ref="A1:I2"/>
    <mergeCell ref="A3:I8"/>
    <mergeCell ref="A9:C16"/>
    <mergeCell ref="D9:I13"/>
    <mergeCell ref="D14:D16"/>
    <mergeCell ref="E14:E16"/>
    <mergeCell ref="F14:F16"/>
    <mergeCell ref="G14:G16"/>
    <mergeCell ref="H14:H16"/>
    <mergeCell ref="I14:I16"/>
    <mergeCell ref="A17:A90"/>
    <mergeCell ref="B17:C31"/>
    <mergeCell ref="D17:D31"/>
    <mergeCell ref="E17:E31"/>
    <mergeCell ref="F17:F31"/>
    <mergeCell ref="B51:C63"/>
    <mergeCell ref="D51:D63"/>
    <mergeCell ref="E51:E63"/>
    <mergeCell ref="F51:F63"/>
    <mergeCell ref="H17:H31"/>
    <mergeCell ref="I17:I31"/>
    <mergeCell ref="B32:C50"/>
    <mergeCell ref="D32:D50"/>
    <mergeCell ref="E32:E50"/>
    <mergeCell ref="F32:F50"/>
    <mergeCell ref="G32:G50"/>
    <mergeCell ref="H32:H50"/>
    <mergeCell ref="I32:I50"/>
    <mergeCell ref="G17:G31"/>
    <mergeCell ref="G51:G63"/>
    <mergeCell ref="H51:H63"/>
    <mergeCell ref="I51:I63"/>
    <mergeCell ref="B64:C73"/>
    <mergeCell ref="D64:D73"/>
    <mergeCell ref="E64:E73"/>
    <mergeCell ref="F64:F73"/>
    <mergeCell ref="G64:G73"/>
    <mergeCell ref="H64:H73"/>
    <mergeCell ref="I64:I73"/>
    <mergeCell ref="I74:I83"/>
    <mergeCell ref="B84:C90"/>
    <mergeCell ref="D84:D90"/>
    <mergeCell ref="E84:E90"/>
    <mergeCell ref="F84:F90"/>
    <mergeCell ref="G84:G90"/>
    <mergeCell ref="H84:H90"/>
    <mergeCell ref="I84:I90"/>
    <mergeCell ref="B74:C83"/>
    <mergeCell ref="D74:D83"/>
    <mergeCell ref="E74:E83"/>
    <mergeCell ref="F74:F83"/>
    <mergeCell ref="G74:G83"/>
    <mergeCell ref="H74:H83"/>
  </mergeCells>
  <printOptions gridLines="1"/>
  <pageMargins left="0.75" right="0.75" top="1" bottom="1" header="0.5" footer="0.5"/>
  <pageSetup scale="95" fitToHeight="0" orientation="landscape" r:id="rId1"/>
  <headerFooter alignWithMargins="0">
    <oddHeader>&amp;LFFY 2012 Consolidated Application&amp;C&amp;A&amp;R&amp;P of &amp;N</oddHeader>
  </headerFooter>
  <rowBreaks count="2" manualBreakCount="2">
    <brk id="31" max="16383" man="1"/>
    <brk id="6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workbookViewId="0">
      <selection activeCell="A4" sqref="A4"/>
    </sheetView>
  </sheetViews>
  <sheetFormatPr defaultRowHeight="12.75" x14ac:dyDescent="0.2"/>
  <cols>
    <col min="1" max="1" width="19.42578125" customWidth="1"/>
  </cols>
  <sheetData>
    <row r="1" spans="1:5" x14ac:dyDescent="0.2">
      <c r="A1" s="22" t="s">
        <v>6</v>
      </c>
      <c r="E1" t="s">
        <v>395</v>
      </c>
    </row>
    <row r="2" spans="1:5" x14ac:dyDescent="0.2">
      <c r="A2" s="22" t="s">
        <v>7</v>
      </c>
      <c r="E2" t="s">
        <v>396</v>
      </c>
    </row>
    <row r="3" spans="1:5" x14ac:dyDescent="0.2">
      <c r="E3" t="s">
        <v>397</v>
      </c>
    </row>
    <row r="4" spans="1:5" x14ac:dyDescent="0.2">
      <c r="A4" t="s">
        <v>23</v>
      </c>
      <c r="E4" t="s">
        <v>398</v>
      </c>
    </row>
    <row r="5" spans="1:5" x14ac:dyDescent="0.2">
      <c r="E5" t="s">
        <v>579</v>
      </c>
    </row>
    <row r="6" spans="1:5" x14ac:dyDescent="0.2">
      <c r="A6" s="30" t="s">
        <v>50</v>
      </c>
      <c r="E6" t="s">
        <v>399</v>
      </c>
    </row>
    <row r="7" spans="1:5" x14ac:dyDescent="0.2">
      <c r="A7" s="30" t="s">
        <v>51</v>
      </c>
      <c r="E7" t="s">
        <v>400</v>
      </c>
    </row>
    <row r="8" spans="1:5" x14ac:dyDescent="0.2">
      <c r="A8" s="30" t="s">
        <v>94</v>
      </c>
      <c r="E8" t="s">
        <v>401</v>
      </c>
    </row>
    <row r="9" spans="1:5" x14ac:dyDescent="0.2">
      <c r="A9" s="30" t="s">
        <v>135</v>
      </c>
      <c r="E9" t="s">
        <v>402</v>
      </c>
    </row>
    <row r="10" spans="1:5" x14ac:dyDescent="0.2">
      <c r="A10" s="30" t="s">
        <v>95</v>
      </c>
      <c r="E10" t="s">
        <v>403</v>
      </c>
    </row>
    <row r="11" spans="1:5" x14ac:dyDescent="0.2">
      <c r="A11" s="30" t="s">
        <v>52</v>
      </c>
      <c r="E11" t="s">
        <v>404</v>
      </c>
    </row>
    <row r="12" spans="1:5" x14ac:dyDescent="0.2">
      <c r="E12" t="s">
        <v>405</v>
      </c>
    </row>
    <row r="13" spans="1:5" x14ac:dyDescent="0.2">
      <c r="A13" s="30" t="s">
        <v>145</v>
      </c>
      <c r="E13" t="s">
        <v>406</v>
      </c>
    </row>
    <row r="14" spans="1:5" x14ac:dyDescent="0.2">
      <c r="A14" s="30" t="s">
        <v>146</v>
      </c>
      <c r="E14" t="s">
        <v>407</v>
      </c>
    </row>
    <row r="15" spans="1:5" x14ac:dyDescent="0.2">
      <c r="E15" t="s">
        <v>581</v>
      </c>
    </row>
    <row r="16" spans="1:5" x14ac:dyDescent="0.2">
      <c r="E16" t="s">
        <v>408</v>
      </c>
    </row>
    <row r="17" spans="5:5" x14ac:dyDescent="0.2">
      <c r="E17" t="s">
        <v>409</v>
      </c>
    </row>
    <row r="18" spans="5:5" x14ac:dyDescent="0.2">
      <c r="E18" t="s">
        <v>580</v>
      </c>
    </row>
    <row r="19" spans="5:5" x14ac:dyDescent="0.2">
      <c r="E19" t="s">
        <v>410</v>
      </c>
    </row>
    <row r="20" spans="5:5" x14ac:dyDescent="0.2">
      <c r="E20" t="s">
        <v>411</v>
      </c>
    </row>
    <row r="21" spans="5:5" x14ac:dyDescent="0.2">
      <c r="E21" t="s">
        <v>412</v>
      </c>
    </row>
    <row r="22" spans="5:5" x14ac:dyDescent="0.2">
      <c r="E22" t="s">
        <v>413</v>
      </c>
    </row>
    <row r="23" spans="5:5" x14ac:dyDescent="0.2">
      <c r="E23" t="s">
        <v>414</v>
      </c>
    </row>
    <row r="24" spans="5:5" x14ac:dyDescent="0.2">
      <c r="E24" t="s">
        <v>415</v>
      </c>
    </row>
    <row r="25" spans="5:5" x14ac:dyDescent="0.2">
      <c r="E25" t="s">
        <v>416</v>
      </c>
    </row>
    <row r="26" spans="5:5" x14ac:dyDescent="0.2">
      <c r="E26" t="s">
        <v>417</v>
      </c>
    </row>
    <row r="27" spans="5:5" x14ac:dyDescent="0.2">
      <c r="E27" t="s">
        <v>418</v>
      </c>
    </row>
    <row r="28" spans="5:5" x14ac:dyDescent="0.2">
      <c r="E28" t="s">
        <v>419</v>
      </c>
    </row>
    <row r="29" spans="5:5" x14ac:dyDescent="0.2">
      <c r="E29" t="s">
        <v>420</v>
      </c>
    </row>
    <row r="30" spans="5:5" x14ac:dyDescent="0.2">
      <c r="E30" t="s">
        <v>421</v>
      </c>
    </row>
    <row r="31" spans="5:5" x14ac:dyDescent="0.2">
      <c r="E31" t="s">
        <v>422</v>
      </c>
    </row>
    <row r="32" spans="5:5" x14ac:dyDescent="0.2">
      <c r="E32" t="s">
        <v>423</v>
      </c>
    </row>
    <row r="33" spans="5:5" x14ac:dyDescent="0.2">
      <c r="E33" t="s">
        <v>424</v>
      </c>
    </row>
    <row r="34" spans="5:5" x14ac:dyDescent="0.2">
      <c r="E34" t="s">
        <v>511</v>
      </c>
    </row>
    <row r="35" spans="5:5" x14ac:dyDescent="0.2">
      <c r="E35" t="s">
        <v>425</v>
      </c>
    </row>
    <row r="36" spans="5:5" x14ac:dyDescent="0.2">
      <c r="E36" t="s">
        <v>426</v>
      </c>
    </row>
    <row r="37" spans="5:5" x14ac:dyDescent="0.2">
      <c r="E37" t="s">
        <v>427</v>
      </c>
    </row>
    <row r="38" spans="5:5" x14ac:dyDescent="0.2">
      <c r="E38" t="s">
        <v>428</v>
      </c>
    </row>
    <row r="39" spans="5:5" x14ac:dyDescent="0.2">
      <c r="E39" t="s">
        <v>429</v>
      </c>
    </row>
    <row r="40" spans="5:5" x14ac:dyDescent="0.2">
      <c r="E40" t="s">
        <v>430</v>
      </c>
    </row>
    <row r="41" spans="5:5" x14ac:dyDescent="0.2">
      <c r="E41" t="s">
        <v>431</v>
      </c>
    </row>
    <row r="42" spans="5:5" x14ac:dyDescent="0.2">
      <c r="E42" t="s">
        <v>432</v>
      </c>
    </row>
    <row r="43" spans="5:5" x14ac:dyDescent="0.2">
      <c r="E43" t="s">
        <v>512</v>
      </c>
    </row>
    <row r="44" spans="5:5" x14ac:dyDescent="0.2">
      <c r="E44" t="s">
        <v>433</v>
      </c>
    </row>
    <row r="45" spans="5:5" x14ac:dyDescent="0.2">
      <c r="E45" t="s">
        <v>434</v>
      </c>
    </row>
    <row r="46" spans="5:5" x14ac:dyDescent="0.2">
      <c r="E46" t="s">
        <v>435</v>
      </c>
    </row>
    <row r="47" spans="5:5" x14ac:dyDescent="0.2">
      <c r="E47" t="s">
        <v>436</v>
      </c>
    </row>
    <row r="48" spans="5:5" x14ac:dyDescent="0.2">
      <c r="E48" t="s">
        <v>437</v>
      </c>
    </row>
    <row r="49" spans="5:5" x14ac:dyDescent="0.2">
      <c r="E49" t="s">
        <v>438</v>
      </c>
    </row>
    <row r="50" spans="5:5" x14ac:dyDescent="0.2">
      <c r="E50" t="s">
        <v>513</v>
      </c>
    </row>
    <row r="51" spans="5:5" x14ac:dyDescent="0.2">
      <c r="E51" t="s">
        <v>439</v>
      </c>
    </row>
    <row r="52" spans="5:5" x14ac:dyDescent="0.2">
      <c r="E52" t="s">
        <v>440</v>
      </c>
    </row>
    <row r="53" spans="5:5" x14ac:dyDescent="0.2">
      <c r="E53" t="s">
        <v>441</v>
      </c>
    </row>
    <row r="54" spans="5:5" x14ac:dyDescent="0.2">
      <c r="E54" t="s">
        <v>442</v>
      </c>
    </row>
    <row r="55" spans="5:5" x14ac:dyDescent="0.2">
      <c r="E55" t="s">
        <v>514</v>
      </c>
    </row>
    <row r="56" spans="5:5" x14ac:dyDescent="0.2">
      <c r="E56" t="s">
        <v>443</v>
      </c>
    </row>
    <row r="57" spans="5:5" x14ac:dyDescent="0.2">
      <c r="E57" t="s">
        <v>444</v>
      </c>
    </row>
    <row r="58" spans="5:5" x14ac:dyDescent="0.2">
      <c r="E58" t="s">
        <v>445</v>
      </c>
    </row>
    <row r="59" spans="5:5" x14ac:dyDescent="0.2">
      <c r="E59" t="s">
        <v>446</v>
      </c>
    </row>
    <row r="60" spans="5:5" x14ac:dyDescent="0.2">
      <c r="E60" t="s">
        <v>447</v>
      </c>
    </row>
    <row r="61" spans="5:5" x14ac:dyDescent="0.2">
      <c r="E61" t="s">
        <v>448</v>
      </c>
    </row>
    <row r="62" spans="5:5" x14ac:dyDescent="0.2">
      <c r="E62" t="s">
        <v>449</v>
      </c>
    </row>
    <row r="63" spans="5:5" x14ac:dyDescent="0.2">
      <c r="E63" t="s">
        <v>450</v>
      </c>
    </row>
    <row r="64" spans="5:5" x14ac:dyDescent="0.2">
      <c r="E64" t="s">
        <v>451</v>
      </c>
    </row>
    <row r="65" spans="5:5" x14ac:dyDescent="0.2">
      <c r="E65" t="s">
        <v>452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L118"/>
  <sheetViews>
    <sheetView zoomScale="145" zoomScaleNormal="145" workbookViewId="0">
      <selection activeCell="D74" sqref="D74"/>
    </sheetView>
  </sheetViews>
  <sheetFormatPr defaultColWidth="9.140625" defaultRowHeight="12.75" x14ac:dyDescent="0.2"/>
  <cols>
    <col min="1" max="3" width="15.7109375" style="162" customWidth="1"/>
    <col min="4" max="4" width="15.7109375" style="164" customWidth="1"/>
    <col min="5" max="5" width="15.7109375" style="162" customWidth="1"/>
    <col min="6" max="6" width="15.7109375" style="165" customWidth="1"/>
    <col min="7" max="7" width="15.7109375" style="166" customWidth="1"/>
    <col min="8" max="9" width="15.7109375" style="162" customWidth="1"/>
    <col min="10" max="10" width="15.85546875" style="162" customWidth="1"/>
    <col min="11" max="11" width="9.140625" style="162" customWidth="1"/>
    <col min="12" max="16384" width="9.140625" style="162"/>
  </cols>
  <sheetData>
    <row r="1" spans="1:12" ht="30" customHeight="1" x14ac:dyDescent="0.2">
      <c r="A1" s="1168" t="s">
        <v>376</v>
      </c>
      <c r="B1" s="1169"/>
      <c r="C1" s="1169"/>
      <c r="D1" s="1169"/>
      <c r="E1" s="1169"/>
      <c r="F1" s="1169"/>
      <c r="G1" s="1169"/>
      <c r="H1" s="1169"/>
      <c r="I1" s="1169"/>
      <c r="J1" s="1169"/>
    </row>
    <row r="2" spans="1:12" s="2" customFormat="1" ht="12.75" customHeight="1" x14ac:dyDescent="0.2">
      <c r="A2" s="1170" t="s">
        <v>502</v>
      </c>
      <c r="B2" s="1171"/>
      <c r="C2" s="1171"/>
      <c r="D2" s="1171"/>
      <c r="E2" s="1171"/>
      <c r="F2" s="1171"/>
      <c r="G2" s="1171"/>
      <c r="H2" s="1171"/>
      <c r="I2" s="1171"/>
      <c r="J2" s="1172"/>
    </row>
    <row r="3" spans="1:12" s="2" customFormat="1" ht="12.75" customHeight="1" x14ac:dyDescent="0.2">
      <c r="A3" s="1173"/>
      <c r="B3" s="1174"/>
      <c r="C3" s="1174"/>
      <c r="D3" s="1174"/>
      <c r="E3" s="1174"/>
      <c r="F3" s="1174"/>
      <c r="G3" s="1174"/>
      <c r="H3" s="1174"/>
      <c r="I3" s="1174"/>
      <c r="J3" s="1175"/>
    </row>
    <row r="4" spans="1:12" s="2" customFormat="1" ht="12.75" customHeight="1" x14ac:dyDescent="0.2">
      <c r="A4" s="1173"/>
      <c r="B4" s="1174"/>
      <c r="C4" s="1174"/>
      <c r="D4" s="1174"/>
      <c r="E4" s="1174"/>
      <c r="F4" s="1174"/>
      <c r="G4" s="1174"/>
      <c r="H4" s="1174"/>
      <c r="I4" s="1174"/>
      <c r="J4" s="1175"/>
    </row>
    <row r="5" spans="1:12" s="2" customFormat="1" ht="13.5" thickBot="1" x14ac:dyDescent="0.25">
      <c r="A5" s="1176"/>
      <c r="B5" s="1177"/>
      <c r="C5" s="1177"/>
      <c r="D5" s="1177"/>
      <c r="E5" s="1177"/>
      <c r="F5" s="1177"/>
      <c r="G5" s="1177"/>
      <c r="H5" s="1177"/>
      <c r="I5" s="1177"/>
      <c r="J5" s="1178"/>
    </row>
    <row r="6" spans="1:12" ht="24.75" customHeight="1" thickTop="1" x14ac:dyDescent="0.2">
      <c r="A6" s="1179" t="s">
        <v>377</v>
      </c>
      <c r="B6" s="1180"/>
      <c r="C6" s="1180"/>
      <c r="D6" s="1180"/>
      <c r="E6" s="1180"/>
      <c r="F6" s="1180"/>
      <c r="G6" s="1180"/>
      <c r="H6" s="1180"/>
      <c r="I6" s="1180"/>
      <c r="J6" s="1180"/>
      <c r="L6" s="2"/>
    </row>
    <row r="7" spans="1:12" ht="50.1" customHeight="1" thickBot="1" x14ac:dyDescent="0.25">
      <c r="A7" s="1181" t="str">
        <f ca="1">IF(K118=86,"Validation Successful: You may now submit the application to OSSE.","Validation Failed: You are not ready to submit the application to OSSE.  See below for details.")</f>
        <v>Validation Failed: You are not ready to submit the application to OSSE.  See below for details.</v>
      </c>
      <c r="B7" s="1182"/>
      <c r="C7" s="1182"/>
      <c r="D7" s="1182"/>
      <c r="E7" s="1182"/>
      <c r="F7" s="1182"/>
      <c r="G7" s="1182"/>
      <c r="H7" s="1182"/>
      <c r="I7" s="1182"/>
      <c r="J7" s="1182"/>
    </row>
    <row r="8" spans="1:12" ht="24.75" customHeight="1" thickTop="1" x14ac:dyDescent="0.2">
      <c r="A8" s="1179" t="s">
        <v>378</v>
      </c>
      <c r="B8" s="1183"/>
      <c r="C8" s="1183"/>
      <c r="D8" s="1183"/>
      <c r="E8" s="1183"/>
      <c r="F8" s="1183"/>
      <c r="G8" s="1183"/>
      <c r="H8" s="1183"/>
      <c r="I8" s="1183"/>
      <c r="J8" s="1183"/>
    </row>
    <row r="9" spans="1:12" ht="15" customHeight="1" x14ac:dyDescent="0.2">
      <c r="A9" s="341" t="s">
        <v>379</v>
      </c>
      <c r="B9" s="342"/>
      <c r="C9" s="1184"/>
      <c r="D9" s="1188" t="s">
        <v>380</v>
      </c>
      <c r="E9" s="1190" t="s">
        <v>381</v>
      </c>
      <c r="F9" s="342"/>
      <c r="G9" s="342"/>
      <c r="H9" s="342"/>
      <c r="I9" s="342"/>
      <c r="J9" s="1184"/>
    </row>
    <row r="10" spans="1:12" ht="15" customHeight="1" thickBot="1" x14ac:dyDescent="0.25">
      <c r="A10" s="1185"/>
      <c r="B10" s="1186"/>
      <c r="C10" s="1187"/>
      <c r="D10" s="1189"/>
      <c r="E10" s="1191"/>
      <c r="F10" s="1186"/>
      <c r="G10" s="1186"/>
      <c r="H10" s="1186"/>
      <c r="I10" s="1186"/>
      <c r="J10" s="1187"/>
    </row>
    <row r="11" spans="1:12" ht="24.75" customHeight="1" thickTop="1" x14ac:dyDescent="0.2">
      <c r="A11" s="1192" t="s">
        <v>382</v>
      </c>
      <c r="B11" s="1193"/>
      <c r="C11" s="1193"/>
      <c r="D11" s="1193"/>
      <c r="E11" s="1193"/>
      <c r="F11" s="1193"/>
      <c r="G11" s="1193"/>
      <c r="H11" s="1193"/>
      <c r="I11" s="1193"/>
      <c r="J11" s="1193"/>
    </row>
    <row r="12" spans="1:12" ht="15" customHeight="1" x14ac:dyDescent="0.2">
      <c r="A12" s="1160" t="s">
        <v>383</v>
      </c>
      <c r="B12" s="1160"/>
      <c r="C12" s="1160"/>
      <c r="D12" s="163" t="str">
        <f>IF(LEN('1'!A6)&gt;7,"Yes","No")</f>
        <v>Yes</v>
      </c>
      <c r="E12" s="1161" t="str">
        <f>IF(D12="No","Input the full legal name of the local educational agency.","")</f>
        <v/>
      </c>
      <c r="F12" s="1161"/>
      <c r="G12" s="1161"/>
      <c r="H12" s="1161"/>
      <c r="I12" s="1161"/>
      <c r="J12" s="1161"/>
      <c r="K12" s="162">
        <f t="shared" ref="K12:K19" si="0">IF(D12="Yes",1,0)</f>
        <v>1</v>
      </c>
    </row>
    <row r="13" spans="1:12" ht="15" customHeight="1" x14ac:dyDescent="0.2">
      <c r="A13" s="1162" t="s">
        <v>384</v>
      </c>
      <c r="B13" s="1162"/>
      <c r="C13" s="1162"/>
      <c r="D13" s="163" t="str">
        <f>IF(LEN('1'!A8)&gt;7,"Yes","No")</f>
        <v>Yes</v>
      </c>
      <c r="E13" s="1161" t="str">
        <f>IF(D13="No","Input the mailing address of the local educational agency.","")</f>
        <v/>
      </c>
      <c r="F13" s="1161"/>
      <c r="G13" s="1161"/>
      <c r="H13" s="1161"/>
      <c r="I13" s="1161"/>
      <c r="J13" s="1161"/>
      <c r="K13" s="162">
        <f t="shared" si="0"/>
        <v>1</v>
      </c>
    </row>
    <row r="14" spans="1:12" ht="15" customHeight="1" x14ac:dyDescent="0.2">
      <c r="A14" s="1162" t="s">
        <v>385</v>
      </c>
      <c r="B14" s="1162"/>
      <c r="C14" s="1162"/>
      <c r="D14" s="163" t="str">
        <f>IF(LEN('1'!A10)&gt;6,"Yes","No")</f>
        <v>Yes</v>
      </c>
      <c r="E14" s="1161" t="str">
        <f>IF(D14="No","Input the main telephone number of the local educational agency.","")</f>
        <v/>
      </c>
      <c r="F14" s="1161"/>
      <c r="G14" s="1161"/>
      <c r="H14" s="1161"/>
      <c r="I14" s="1161"/>
      <c r="J14" s="1161"/>
      <c r="K14" s="162">
        <f t="shared" si="0"/>
        <v>1</v>
      </c>
    </row>
    <row r="15" spans="1:12" ht="15" customHeight="1" x14ac:dyDescent="0.2">
      <c r="A15" s="1162" t="s">
        <v>386</v>
      </c>
      <c r="B15" s="1162"/>
      <c r="C15" s="1162"/>
      <c r="D15" s="163" t="str">
        <f>IF(LEN('1'!A12)&gt;5,"Yes","No")</f>
        <v>Yes</v>
      </c>
      <c r="E15" s="1161" t="str">
        <f>IF(D15="No","Input the name of the primary contact at the LEA for Consolidated Application programs.","")</f>
        <v/>
      </c>
      <c r="F15" s="1161"/>
      <c r="G15" s="1161"/>
      <c r="H15" s="1161"/>
      <c r="I15" s="1161"/>
      <c r="J15" s="1161"/>
      <c r="K15" s="162">
        <f t="shared" si="0"/>
        <v>1</v>
      </c>
    </row>
    <row r="16" spans="1:12" ht="15" customHeight="1" x14ac:dyDescent="0.2">
      <c r="A16" s="1162" t="s">
        <v>387</v>
      </c>
      <c r="B16" s="1162"/>
      <c r="C16" s="1162"/>
      <c r="D16" s="163" t="str">
        <f>IF(LEN('1'!A14)&gt;5,"Yes","No")</f>
        <v>Yes</v>
      </c>
      <c r="E16" s="1161" t="str">
        <f>IF(D16="No","Input the position title of the primary contact at the LEA for Consolidated Application programs.","")</f>
        <v/>
      </c>
      <c r="F16" s="1161"/>
      <c r="G16" s="1161"/>
      <c r="H16" s="1161"/>
      <c r="I16" s="1161"/>
      <c r="J16" s="1161"/>
      <c r="K16" s="162">
        <f t="shared" si="0"/>
        <v>1</v>
      </c>
    </row>
    <row r="17" spans="1:11" ht="15" customHeight="1" x14ac:dyDescent="0.2">
      <c r="A17" s="1162" t="s">
        <v>388</v>
      </c>
      <c r="B17" s="1162"/>
      <c r="C17" s="1162"/>
      <c r="D17" s="163" t="str">
        <f>IF(LEN('1'!A16)&gt;7,"Yes","No")</f>
        <v>Yes</v>
      </c>
      <c r="E17" s="1161" t="str">
        <f>IF(D17="No","Input the email address of the primary contact at the LEA for Consolidated Application programs.","")</f>
        <v/>
      </c>
      <c r="F17" s="1161"/>
      <c r="G17" s="1161"/>
      <c r="H17" s="1161"/>
      <c r="I17" s="1161"/>
      <c r="J17" s="1161"/>
      <c r="K17" s="162">
        <f t="shared" si="0"/>
        <v>1</v>
      </c>
    </row>
    <row r="18" spans="1:11" ht="15" customHeight="1" x14ac:dyDescent="0.2">
      <c r="A18" s="1162" t="s">
        <v>389</v>
      </c>
      <c r="B18" s="1162"/>
      <c r="C18" s="1162"/>
      <c r="D18" s="163" t="str">
        <f>IF(LEN('1'!A18)&gt;6,"Yes","No")</f>
        <v>Yes</v>
      </c>
      <c r="E18" s="1161" t="str">
        <f>IF(D18="No","Input the telephone number of the primary contact at the LEA for Consolidated Application programs.","")</f>
        <v/>
      </c>
      <c r="F18" s="1161"/>
      <c r="G18" s="1161"/>
      <c r="H18" s="1161"/>
      <c r="I18" s="1161"/>
      <c r="J18" s="1161"/>
      <c r="K18" s="162">
        <f t="shared" si="0"/>
        <v>1</v>
      </c>
    </row>
    <row r="19" spans="1:11" ht="15" customHeight="1" x14ac:dyDescent="0.2">
      <c r="A19" s="1162" t="s">
        <v>390</v>
      </c>
      <c r="B19" s="1162"/>
      <c r="C19" s="1162"/>
      <c r="D19" s="163" t="str">
        <f>IF(AND('1'!B38="",'1'!E38="",'1'!H38=""), "No", "Yes")</f>
        <v>Yes</v>
      </c>
      <c r="E19" s="1161" t="str">
        <f>IF(D19="No","Select one of the three options (monthly, bi-monthly, or quarterly) for a reimbursement request submission schedule.","")</f>
        <v/>
      </c>
      <c r="F19" s="1161"/>
      <c r="G19" s="1161"/>
      <c r="H19" s="1161"/>
      <c r="I19" s="1161"/>
      <c r="J19" s="1161"/>
      <c r="K19" s="162">
        <f t="shared" si="0"/>
        <v>1</v>
      </c>
    </row>
    <row r="20" spans="1:11" ht="24.75" customHeight="1" x14ac:dyDescent="0.2">
      <c r="A20" s="1157" t="s">
        <v>571</v>
      </c>
      <c r="B20" s="1158"/>
      <c r="C20" s="1158"/>
      <c r="D20" s="1158"/>
      <c r="E20" s="1158"/>
      <c r="F20" s="1158"/>
      <c r="G20" s="1158"/>
      <c r="H20" s="1158"/>
      <c r="I20" s="1158"/>
      <c r="J20" s="1159"/>
    </row>
    <row r="21" spans="1:11" ht="15" customHeight="1" x14ac:dyDescent="0.2">
      <c r="A21" s="1160" t="s">
        <v>573</v>
      </c>
      <c r="B21" s="1160"/>
      <c r="C21" s="1160"/>
      <c r="D21" s="163" t="str">
        <f>IF('2a'!F7="", "No","Yes")</f>
        <v>Yes</v>
      </c>
      <c r="E21" s="1161" t="str">
        <f>IF(D21="No","Select YES or NO to indicate whether the LEA has intervention status schools.","")</f>
        <v/>
      </c>
      <c r="F21" s="1161"/>
      <c r="G21" s="1161"/>
      <c r="H21" s="1161"/>
      <c r="I21" s="1161"/>
      <c r="J21" s="1161"/>
      <c r="K21" s="162">
        <f>IF(D21="Yes",1,0)</f>
        <v>1</v>
      </c>
    </row>
    <row r="22" spans="1:11" ht="15" customHeight="1" x14ac:dyDescent="0.2">
      <c r="A22" s="1162" t="s">
        <v>574</v>
      </c>
      <c r="B22" s="1162"/>
      <c r="C22" s="1162"/>
      <c r="D22" s="163" t="str">
        <f>IF('2a'!F379='2a'!F8,"Yes","No")</f>
        <v>Yes</v>
      </c>
      <c r="E22" s="1161" t="str">
        <f>IF(D22="No","Revise the data provided on Tab 2a to ensure that the amount set aside covers the total required amount of funds","")</f>
        <v/>
      </c>
      <c r="F22" s="1161"/>
      <c r="G22" s="1161"/>
      <c r="H22" s="1161"/>
      <c r="I22" s="1161"/>
      <c r="J22" s="1161"/>
      <c r="K22" s="162">
        <f t="shared" ref="K22:K33" si="1">IF(D22="Yes",1,0)</f>
        <v>1</v>
      </c>
    </row>
    <row r="23" spans="1:11" ht="15" customHeight="1" x14ac:dyDescent="0.2">
      <c r="A23" s="1162" t="s">
        <v>518</v>
      </c>
      <c r="B23" s="1162"/>
      <c r="C23" s="1162"/>
      <c r="D23" s="163" t="str">
        <f>IF(AND('2a'!F20&gt;0,LEN('2a'!A26)&lt;100),"No","Yes")</f>
        <v>Yes</v>
      </c>
      <c r="E23" s="1161" t="str">
        <f>IF(D23="No","Summarize the planned use/s of funds required to be set-aside for school leadership interventions.","")</f>
        <v/>
      </c>
      <c r="F23" s="1161"/>
      <c r="G23" s="1161"/>
      <c r="H23" s="1161"/>
      <c r="I23" s="1161"/>
      <c r="J23" s="1161"/>
      <c r="K23" s="162">
        <f t="shared" si="1"/>
        <v>1</v>
      </c>
    </row>
    <row r="24" spans="1:11" ht="15" customHeight="1" x14ac:dyDescent="0.2">
      <c r="A24" s="1162" t="s">
        <v>521</v>
      </c>
      <c r="B24" s="1162"/>
      <c r="C24" s="1162"/>
      <c r="D24" s="163" t="str">
        <f>IF(AND('2a'!F53&gt;0,LEN('2a'!A59)&lt;100),"No","Yes")</f>
        <v>Yes</v>
      </c>
      <c r="E24" s="1161" t="str">
        <f>IF(D24="No","Summarize the planned use/s of funds required to be set-aside for effective staffing practices interventions.","")</f>
        <v/>
      </c>
      <c r="F24" s="1161"/>
      <c r="G24" s="1161"/>
      <c r="H24" s="1161"/>
      <c r="I24" s="1161"/>
      <c r="J24" s="1161"/>
      <c r="K24" s="162">
        <f t="shared" si="1"/>
        <v>1</v>
      </c>
    </row>
    <row r="25" spans="1:11" ht="15" customHeight="1" x14ac:dyDescent="0.2">
      <c r="A25" s="1162" t="s">
        <v>525</v>
      </c>
      <c r="B25" s="1162"/>
      <c r="C25" s="1162"/>
      <c r="D25" s="163" t="str">
        <f>IF(AND('2a'!F88&gt;0,LEN('2a'!A92)&lt;100),"No","Yes")</f>
        <v>Yes</v>
      </c>
      <c r="E25" s="1161" t="str">
        <f>IF(D25="No","Summarize the planned use/s of funds required to be set-aside for effective use of time interventions.","")</f>
        <v/>
      </c>
      <c r="F25" s="1161"/>
      <c r="G25" s="1161"/>
      <c r="H25" s="1161"/>
      <c r="I25" s="1161"/>
      <c r="J25" s="1161"/>
      <c r="K25" s="162">
        <f t="shared" si="1"/>
        <v>1</v>
      </c>
    </row>
    <row r="26" spans="1:11" ht="15" customHeight="1" x14ac:dyDescent="0.2">
      <c r="A26" s="1162" t="s">
        <v>526</v>
      </c>
      <c r="B26" s="1162"/>
      <c r="C26" s="1162"/>
      <c r="D26" s="163" t="str">
        <f>IF(AND('2a'!F121&gt;0,LEN('2a'!A125)&lt;100),"No","Yes")</f>
        <v>Yes</v>
      </c>
      <c r="E26" s="1161" t="str">
        <f>IF(D26="No","Summarize the planned use/s of funds required to be set-aside for curriculum and assessment interventions.","")</f>
        <v/>
      </c>
      <c r="F26" s="1161"/>
      <c r="G26" s="1161"/>
      <c r="H26" s="1161"/>
      <c r="I26" s="1161"/>
      <c r="J26" s="1161"/>
      <c r="K26" s="162">
        <f t="shared" si="1"/>
        <v>1</v>
      </c>
    </row>
    <row r="27" spans="1:11" ht="15" customHeight="1" x14ac:dyDescent="0.2">
      <c r="A27" s="1162" t="s">
        <v>529</v>
      </c>
      <c r="B27" s="1162"/>
      <c r="C27" s="1162"/>
      <c r="D27" s="163" t="str">
        <f>IF(AND('2a'!F152&gt;0,LEN('2a'!A157)&lt;100),"No","Yes")</f>
        <v>Yes</v>
      </c>
      <c r="E27" s="1161" t="str">
        <f>IF(D27="No","Summarize the planned use/s of funds required to be set-aside for effective uses of data interventions.","")</f>
        <v/>
      </c>
      <c r="F27" s="1161"/>
      <c r="G27" s="1161"/>
      <c r="H27" s="1161"/>
      <c r="I27" s="1161"/>
      <c r="J27" s="1161"/>
      <c r="K27" s="162">
        <f t="shared" si="1"/>
        <v>1</v>
      </c>
    </row>
    <row r="28" spans="1:11" ht="15" customHeight="1" x14ac:dyDescent="0.2">
      <c r="A28" s="1162" t="s">
        <v>532</v>
      </c>
      <c r="B28" s="1162"/>
      <c r="C28" s="1162"/>
      <c r="D28" s="163" t="str">
        <f>IF(AND('2a'!F184&gt;0,LEN('2a'!A189)&lt;100),"No","Yes")</f>
        <v>Yes</v>
      </c>
      <c r="E28" s="1161" t="str">
        <f>IF(D28="No","Summarize the planned use/s of funds required to be set-aside for school climate and culture interventions.","")</f>
        <v/>
      </c>
      <c r="F28" s="1161"/>
      <c r="G28" s="1161"/>
      <c r="H28" s="1161"/>
      <c r="I28" s="1161"/>
      <c r="J28" s="1161"/>
      <c r="K28" s="162">
        <f t="shared" si="1"/>
        <v>1</v>
      </c>
    </row>
    <row r="29" spans="1:11" ht="15" customHeight="1" x14ac:dyDescent="0.2">
      <c r="A29" s="1162" t="s">
        <v>534</v>
      </c>
      <c r="B29" s="1162"/>
      <c r="C29" s="1162"/>
      <c r="D29" s="163" t="str">
        <f>IF(AND('2a'!F216&gt;0,LEN('2a'!A221)&lt;100),"No","Yes")</f>
        <v>Yes</v>
      </c>
      <c r="E29" s="1161" t="str">
        <f>IF(D29="No","Summarize the planned use/s of funds required to be set-aside for family and community engagement.","")</f>
        <v/>
      </c>
      <c r="F29" s="1161"/>
      <c r="G29" s="1161"/>
      <c r="H29" s="1161"/>
      <c r="I29" s="1161"/>
      <c r="J29" s="1161"/>
      <c r="K29" s="162">
        <f t="shared" si="1"/>
        <v>1</v>
      </c>
    </row>
    <row r="30" spans="1:11" ht="15" customHeight="1" x14ac:dyDescent="0.2">
      <c r="A30" s="1162" t="s">
        <v>575</v>
      </c>
      <c r="B30" s="1162"/>
      <c r="C30" s="1162"/>
      <c r="D30" s="163" t="str">
        <f>IF(AND('2a'!F253&gt;0,LEN('2a'!A259)&lt;100),"No","Yes")</f>
        <v>Yes</v>
      </c>
      <c r="E30" s="1161" t="str">
        <f>IF(D30="No","Summarize the planned use/s of funds required to be set-aside for meeting the needs of the disabled students.","")</f>
        <v/>
      </c>
      <c r="F30" s="1161"/>
      <c r="G30" s="1161"/>
      <c r="H30" s="1161"/>
      <c r="I30" s="1161"/>
      <c r="J30" s="1161"/>
      <c r="K30" s="162">
        <f t="shared" si="1"/>
        <v>1</v>
      </c>
    </row>
    <row r="31" spans="1:11" ht="15" customHeight="1" x14ac:dyDescent="0.2">
      <c r="A31" s="1162" t="s">
        <v>576</v>
      </c>
      <c r="B31" s="1162"/>
      <c r="C31" s="1162"/>
      <c r="D31" s="163" t="str">
        <f>IF(AND('2a'!F286&gt;0,LEN('2a'!A292)&lt;100),"No","Yes")</f>
        <v>Yes</v>
      </c>
      <c r="E31" s="1161" t="str">
        <f>IF(D31="No","Summarize the planned use/s of funds required to be set-aside for meeting the needs of ELLs.","")</f>
        <v/>
      </c>
      <c r="F31" s="1161"/>
      <c r="G31" s="1161"/>
      <c r="H31" s="1161"/>
      <c r="I31" s="1161"/>
      <c r="J31" s="1161"/>
      <c r="K31" s="162">
        <f t="shared" si="1"/>
        <v>1</v>
      </c>
    </row>
    <row r="32" spans="1:11" ht="15" customHeight="1" x14ac:dyDescent="0.2">
      <c r="A32" s="1162" t="s">
        <v>577</v>
      </c>
      <c r="B32" s="1162"/>
      <c r="C32" s="1162"/>
      <c r="D32" s="163" t="str">
        <f>IF(AND('2a'!F321&gt;0,LEN('2a'!A325)&lt;100),"No","Yes")</f>
        <v>Yes</v>
      </c>
      <c r="E32" s="1161" t="str">
        <f>IF(D32="No","Summarize the planned use/s of funds required to be set-aside for meeting the needs of other subgroups.","")</f>
        <v/>
      </c>
      <c r="F32" s="1161"/>
      <c r="G32" s="1161"/>
      <c r="H32" s="1161"/>
      <c r="I32" s="1161"/>
      <c r="J32" s="1161"/>
      <c r="K32" s="162">
        <f t="shared" si="1"/>
        <v>1</v>
      </c>
    </row>
    <row r="33" spans="1:11" ht="15" customHeight="1" x14ac:dyDescent="0.2">
      <c r="A33" s="1162" t="s">
        <v>578</v>
      </c>
      <c r="B33" s="1162"/>
      <c r="C33" s="1162"/>
      <c r="D33" s="163" t="str">
        <f>IF(AND('2a'!F352&gt;0,LEN('2a'!A358)&lt;100),"No","Yes")</f>
        <v>Yes</v>
      </c>
      <c r="E33" s="1161" t="str">
        <f>IF(D33="No","Summarize the planned use/s of funds required to be set-aside for schools not meeting AMOs.","")</f>
        <v/>
      </c>
      <c r="F33" s="1161"/>
      <c r="G33" s="1161"/>
      <c r="H33" s="1161"/>
      <c r="I33" s="1161"/>
      <c r="J33" s="1161"/>
      <c r="K33" s="162">
        <f t="shared" si="1"/>
        <v>1</v>
      </c>
    </row>
    <row r="34" spans="1:11" ht="24.75" customHeight="1" x14ac:dyDescent="0.2">
      <c r="A34" s="1157" t="s">
        <v>572</v>
      </c>
      <c r="B34" s="1158"/>
      <c r="C34" s="1158"/>
      <c r="D34" s="1158"/>
      <c r="E34" s="1158"/>
      <c r="F34" s="1158"/>
      <c r="G34" s="1158"/>
      <c r="H34" s="1158"/>
      <c r="I34" s="1158"/>
      <c r="J34" s="1159"/>
    </row>
    <row r="35" spans="1:11" ht="15" customHeight="1" x14ac:dyDescent="0.2">
      <c r="A35" s="1160" t="s">
        <v>499</v>
      </c>
      <c r="B35" s="1160"/>
      <c r="C35" s="1160"/>
      <c r="D35" s="163" t="str">
        <f>IF(AND('2b'!F13&gt;0,LEN('2b'!A19)&lt;20),"No","Yes")</f>
        <v>Yes</v>
      </c>
      <c r="E35" s="1161" t="str">
        <f>IF(D35="No","Summarize the planned use/s of funds required to be set-aside for parental involvement activities.","")</f>
        <v/>
      </c>
      <c r="F35" s="1161"/>
      <c r="G35" s="1161"/>
      <c r="H35" s="1161"/>
      <c r="I35" s="1161"/>
      <c r="J35" s="1161"/>
      <c r="K35" s="162">
        <f>IF(D35="Yes",1,0)</f>
        <v>1</v>
      </c>
    </row>
    <row r="36" spans="1:11" ht="15" customHeight="1" x14ac:dyDescent="0.2">
      <c r="A36" s="1162" t="s">
        <v>155</v>
      </c>
      <c r="B36" s="1162"/>
      <c r="C36" s="1162"/>
      <c r="D36" s="163" t="str">
        <f>IF(AND('2b'!F175&gt;0,LEN('2b'!A180)&lt;20),"No","Yes")</f>
        <v>Yes</v>
      </c>
      <c r="E36" s="1161" t="str">
        <f>IF(D36="No","Summarize the planned use/s of funds to be set-aside for administrative activities.","")</f>
        <v/>
      </c>
      <c r="F36" s="1161"/>
      <c r="G36" s="1161"/>
      <c r="H36" s="1161"/>
      <c r="I36" s="1161"/>
      <c r="J36" s="1161"/>
      <c r="K36" s="162">
        <f>IF(D36="Yes",1,0)</f>
        <v>1</v>
      </c>
    </row>
    <row r="37" spans="1:11" ht="15" customHeight="1" x14ac:dyDescent="0.2">
      <c r="A37" s="1162" t="s">
        <v>156</v>
      </c>
      <c r="B37" s="1162"/>
      <c r="C37" s="1162"/>
      <c r="D37" s="163" t="str">
        <f>IF(AND('2b'!F216&gt;0,LEN('2b'!A221)&lt;10),"No","Yes")</f>
        <v>Yes</v>
      </c>
      <c r="E37" s="1161" t="str">
        <f>IF(D37="No","Summarize the planned use/s of funds to be set-aside for financial incentives and rewards.","")</f>
        <v/>
      </c>
      <c r="F37" s="1161"/>
      <c r="G37" s="1161"/>
      <c r="H37" s="1161"/>
      <c r="I37" s="1161"/>
      <c r="J37" s="1161"/>
      <c r="K37" s="162">
        <f>IF(D37="Yes",1,0)</f>
        <v>1</v>
      </c>
    </row>
    <row r="38" spans="1:11" ht="15" customHeight="1" x14ac:dyDescent="0.2">
      <c r="A38" s="1162" t="s">
        <v>158</v>
      </c>
      <c r="B38" s="1162"/>
      <c r="C38" s="1162"/>
      <c r="D38" s="163" t="str">
        <f>IF(AND('2b'!F258&gt;0,LEN('2b'!A278)&lt;20),"No","Yes")</f>
        <v>Yes</v>
      </c>
      <c r="E38" s="1161" t="str">
        <f>IF(D38="No","Summarize the planned use/s of funds to be set-aside for additional off the top reservation.","")</f>
        <v/>
      </c>
      <c r="F38" s="1161"/>
      <c r="G38" s="1161"/>
      <c r="H38" s="1161"/>
      <c r="I38" s="1161"/>
      <c r="J38" s="1161"/>
      <c r="K38" s="162">
        <f>IF(D38="Yes",1,0)</f>
        <v>1</v>
      </c>
    </row>
    <row r="39" spans="1:11" ht="24.75" customHeight="1" x14ac:dyDescent="0.2">
      <c r="A39" s="1157" t="s">
        <v>391</v>
      </c>
      <c r="B39" s="1158"/>
      <c r="C39" s="1158"/>
      <c r="D39" s="1158"/>
      <c r="E39" s="1158"/>
      <c r="F39" s="1158"/>
      <c r="G39" s="1158"/>
      <c r="H39" s="1158"/>
      <c r="I39" s="1158"/>
      <c r="J39" s="1159"/>
    </row>
    <row r="40" spans="1:11" ht="15" customHeight="1" x14ac:dyDescent="0.2">
      <c r="A40" s="1160" t="s">
        <v>482</v>
      </c>
      <c r="B40" s="1160"/>
      <c r="C40" s="1160"/>
      <c r="D40" s="163" t="str">
        <f>IF('3'!F15="", "No","Yes")</f>
        <v>Yes</v>
      </c>
      <c r="E40" s="1161" t="str">
        <f>IF(D40="No","Select YES or NO to indicate whether any funds will be consolidated.","")</f>
        <v/>
      </c>
      <c r="F40" s="1161"/>
      <c r="G40" s="1161"/>
      <c r="H40" s="1161"/>
      <c r="I40" s="1161"/>
      <c r="J40" s="1161"/>
      <c r="K40" s="162">
        <f>IF(D40="Yes",1,0)</f>
        <v>1</v>
      </c>
    </row>
    <row r="41" spans="1:11" ht="15" customHeight="1" x14ac:dyDescent="0.2">
      <c r="A41" s="1162" t="s">
        <v>483</v>
      </c>
      <c r="B41" s="1162"/>
      <c r="C41" s="1162"/>
      <c r="D41" s="163" t="str">
        <f>IF('3'!F18&gt;'3'!F17,"No","Yes")</f>
        <v>Yes</v>
      </c>
      <c r="E41" s="1161" t="str">
        <f>IF(D41="No","Decrease the amount of Title I, Part A funds being consolidated to no more than the maximum available for consolidation.","")</f>
        <v/>
      </c>
      <c r="F41" s="1161"/>
      <c r="G41" s="1161"/>
      <c r="H41" s="1161"/>
      <c r="I41" s="1161"/>
      <c r="J41" s="1161"/>
      <c r="K41" s="162">
        <f>IF(D41="Yes",1,0)</f>
        <v>1</v>
      </c>
    </row>
    <row r="42" spans="1:11" ht="15" customHeight="1" x14ac:dyDescent="0.2">
      <c r="A42" s="1162" t="s">
        <v>484</v>
      </c>
      <c r="B42" s="1162"/>
      <c r="C42" s="1162"/>
      <c r="D42" s="163" t="str">
        <f>IF('3'!F19&gt;'1'!E28,"No","Yes")</f>
        <v>Yes</v>
      </c>
      <c r="E42" s="1161" t="str">
        <f>IF(D42="No","Decrease the amount of Title II, Part A funds being consolidated to no more than the total Title II, Part A allocation.","")</f>
        <v/>
      </c>
      <c r="F42" s="1161"/>
      <c r="G42" s="1161"/>
      <c r="H42" s="1161"/>
      <c r="I42" s="1161"/>
      <c r="J42" s="1161"/>
      <c r="K42" s="162">
        <f>IF(D42="Yes",1,0)</f>
        <v>1</v>
      </c>
    </row>
    <row r="43" spans="1:11" ht="15" customHeight="1" x14ac:dyDescent="0.2">
      <c r="A43" s="1162" t="s">
        <v>485</v>
      </c>
      <c r="B43" s="1162"/>
      <c r="C43" s="1162"/>
      <c r="D43" s="163" t="str">
        <f>IF('3'!F20&gt;'1'!H28,"No","Yes")</f>
        <v>Yes</v>
      </c>
      <c r="E43" s="1161" t="str">
        <f>IF(D43="No","Decrease the amount of Title III, Part A funds being consolidated to no more than the total Title III, Part A allocation.","")</f>
        <v/>
      </c>
      <c r="F43" s="1161"/>
      <c r="G43" s="1161"/>
      <c r="H43" s="1161"/>
      <c r="I43" s="1161"/>
      <c r="J43" s="1161"/>
      <c r="K43" s="162">
        <f>IF(D43="Yes",1,0)</f>
        <v>1</v>
      </c>
    </row>
    <row r="44" spans="1:11" ht="24.75" customHeight="1" x14ac:dyDescent="0.2">
      <c r="A44" s="1157" t="s">
        <v>392</v>
      </c>
      <c r="B44" s="1158"/>
      <c r="C44" s="1158"/>
      <c r="D44" s="1158"/>
      <c r="E44" s="1158"/>
      <c r="F44" s="1158"/>
      <c r="G44" s="1158"/>
      <c r="H44" s="1158"/>
      <c r="I44" s="1158"/>
      <c r="J44" s="1159"/>
    </row>
    <row r="45" spans="1:11" ht="15" customHeight="1" x14ac:dyDescent="0.2">
      <c r="A45" s="1160" t="s">
        <v>495</v>
      </c>
      <c r="B45" s="1160"/>
      <c r="C45" s="1160"/>
      <c r="D45" s="163" t="str">
        <f>IF(AND('1'!B28&gt;0,OR('4'!B20="",'4'!I23="",'4'!I26="",AND('4'!B34="",'4'!B37="",'4'!B39="",'4'!B41="",'4'!B43="",'4'!B45="",'4'!B47="",'4'!B49="",'4'!B54="",'4'!B56="",'4'!B58="",'4'!B60="",'4'!B62="",'4'!B64="",'4'!B32=""))),"No","Yes")</f>
        <v>Yes</v>
      </c>
      <c r="E45" s="1161" t="str">
        <f>IF(D45="No","Complete the Needs Assessment section of the worksheet.","")</f>
        <v/>
      </c>
      <c r="F45" s="1161"/>
      <c r="G45" s="1161"/>
      <c r="H45" s="1161"/>
      <c r="I45" s="1161"/>
      <c r="J45" s="1161"/>
      <c r="K45" s="162">
        <f t="shared" ref="K45:K50" si="2">IF(D45="Yes",1,0)</f>
        <v>1</v>
      </c>
    </row>
    <row r="46" spans="1:11" ht="15" customHeight="1" x14ac:dyDescent="0.2">
      <c r="A46" s="1160" t="s">
        <v>496</v>
      </c>
      <c r="B46" s="1160"/>
      <c r="C46" s="1160"/>
      <c r="D46" s="163" t="str">
        <f>IF(AND('1'!B28&gt;0,'4'!B74="",'4'!B143=""),"No","Yes")</f>
        <v>Yes</v>
      </c>
      <c r="E46" s="1161" t="str">
        <f>IF(D46="No","Indicate whether the LEA has schools operating schoolwide programs, targeted assistance schools, or (for DCPS) both.","")</f>
        <v/>
      </c>
      <c r="F46" s="1161"/>
      <c r="G46" s="1161"/>
      <c r="H46" s="1161"/>
      <c r="I46" s="1161"/>
      <c r="J46" s="1161"/>
      <c r="K46" s="162">
        <f t="shared" si="2"/>
        <v>1</v>
      </c>
    </row>
    <row r="47" spans="1:11" ht="15" customHeight="1" x14ac:dyDescent="0.2">
      <c r="A47" s="1160" t="s">
        <v>498</v>
      </c>
      <c r="B47" s="1160"/>
      <c r="C47" s="1160"/>
      <c r="D47" s="163" t="str">
        <f>IF(AND('4'!B143="X",OR(LEN('4'!A177)&lt;20,AND('4'!A171="",'4'!C171="",'4'!E171="",'4'!G171="",'4'!I171="",'4'!A172="",'4'!C172="",'4'!E172="",'4'!G172="",'4'!I172=""),AND('4'!B153="",'4'!B155="",'4'!B157="",'4'!B159="",'4'!B161="",'4'!B163=""))),"No","Yes")</f>
        <v>Yes</v>
      </c>
      <c r="E47" s="1161" t="str">
        <f>IF(D47="No","Complete all sections related to targeted assistance design.","")</f>
        <v/>
      </c>
      <c r="F47" s="1161"/>
      <c r="G47" s="1161"/>
      <c r="H47" s="1161"/>
      <c r="I47" s="1161"/>
      <c r="J47" s="1161"/>
      <c r="K47" s="162">
        <f t="shared" si="2"/>
        <v>1</v>
      </c>
    </row>
    <row r="48" spans="1:11" ht="15" customHeight="1" x14ac:dyDescent="0.2">
      <c r="A48" s="1160" t="s">
        <v>497</v>
      </c>
      <c r="B48" s="1160"/>
      <c r="C48" s="1160"/>
      <c r="D48" s="163" t="str">
        <f>IF(AND('4'!B74="X",OR('4'!B85="",AND('4'!B91="",'4'!B94="",'4'!B97="",'4'!B100="",'4'!B103="",'4'!B106=""))),"No","Yes")</f>
        <v>Yes</v>
      </c>
      <c r="E48" s="1161" t="str">
        <f>IF(D48="No","Complete all sections related to schoolwide program design.","")</f>
        <v/>
      </c>
      <c r="F48" s="1161"/>
      <c r="G48" s="1161"/>
      <c r="H48" s="1161"/>
      <c r="I48" s="1161"/>
      <c r="J48" s="1161"/>
      <c r="K48" s="162">
        <f t="shared" si="2"/>
        <v>1</v>
      </c>
    </row>
    <row r="49" spans="1:11" ht="15" customHeight="1" x14ac:dyDescent="0.2">
      <c r="A49" s="1160" t="s">
        <v>499</v>
      </c>
      <c r="B49" s="1160"/>
      <c r="C49" s="1160"/>
      <c r="D49" s="163" t="str">
        <f>IF(AND('1'!B28&gt;0,OR('4'!A243="",'4'!A252="",'4'!A260="",'4'!A269="",'4'!A279="",'4'!A288="",'4'!B221="",'4'!B223="")),"No","Yes")</f>
        <v>Yes</v>
      </c>
      <c r="E49" s="1161" t="str">
        <f>IF(D49="No","Complete all sections related to requirements for parental involvement activities.","")</f>
        <v/>
      </c>
      <c r="F49" s="1161"/>
      <c r="G49" s="1161"/>
      <c r="H49" s="1161"/>
      <c r="I49" s="1161"/>
      <c r="J49" s="1161"/>
      <c r="K49" s="162">
        <f t="shared" si="2"/>
        <v>1</v>
      </c>
    </row>
    <row r="50" spans="1:11" ht="15" customHeight="1" x14ac:dyDescent="0.2">
      <c r="A50" s="1160" t="s">
        <v>500</v>
      </c>
      <c r="B50" s="1160"/>
      <c r="C50" s="1160"/>
      <c r="D50" s="163" t="str">
        <f>IF(AND('1'!B28&gt;0,OR('4'!B301="",'4'!B311="")),"No","Yes")</f>
        <v>Yes</v>
      </c>
      <c r="E50" s="1161" t="str">
        <f>IF(D50="No","Check all assurances related to requirements for highly qualified teachers and paraprofessionals.","")</f>
        <v/>
      </c>
      <c r="F50" s="1161"/>
      <c r="G50" s="1161"/>
      <c r="H50" s="1161"/>
      <c r="I50" s="1161"/>
      <c r="J50" s="1161"/>
      <c r="K50" s="162">
        <f t="shared" si="2"/>
        <v>1</v>
      </c>
    </row>
    <row r="51" spans="1:11" ht="24.75" customHeight="1" x14ac:dyDescent="0.2">
      <c r="A51" s="1157" t="s">
        <v>453</v>
      </c>
      <c r="B51" s="1158"/>
      <c r="C51" s="1158"/>
      <c r="D51" s="1158"/>
      <c r="E51" s="1158"/>
      <c r="F51" s="1158"/>
      <c r="G51" s="1158"/>
      <c r="H51" s="1158"/>
      <c r="I51" s="1158"/>
      <c r="J51" s="1159"/>
    </row>
    <row r="52" spans="1:11" ht="15" customHeight="1" x14ac:dyDescent="0.2">
      <c r="A52" s="1160" t="s">
        <v>491</v>
      </c>
      <c r="B52" s="1160"/>
      <c r="C52" s="1160"/>
      <c r="D52" s="163" t="str">
        <f>IF(OR(LEN('5'!F21)&gt;LEN('5'!A26),LEN('5'!F45)&gt;LEN('5'!A50),LEN('5'!F87)&gt;LEN('5'!A92),LEN('5'!F129)&gt;LEN('5'!A134),LEN('5'!F171)&gt;LEN('5'!A176),LEN('5'!F213)&gt;LEN('5'!A218),LEN('5'!F255)&gt;LEN('5'!A260),LEN('5'!F297)&gt;LEN('5'!A302), LEN('5'!F339)&gt;LEN('5'!A344),LEN('5'!F381)&gt;LEN('5'!A386)),"No","Yes")</f>
        <v>Yes</v>
      </c>
      <c r="E52" s="1161" t="str">
        <f>IF(D52="No","For each initiative/strategy for which any Consolidated SWP Funds will be budgeted, provide a summary of the planned activities.","")</f>
        <v/>
      </c>
      <c r="F52" s="1161"/>
      <c r="G52" s="1161"/>
      <c r="H52" s="1161"/>
      <c r="I52" s="1161"/>
      <c r="J52" s="1161"/>
      <c r="K52" s="162">
        <f>IF(D52="Yes",1,0)</f>
        <v>1</v>
      </c>
    </row>
    <row r="53" spans="1:11" ht="15" customHeight="1" x14ac:dyDescent="0.2">
      <c r="A53" s="1160" t="s">
        <v>489</v>
      </c>
      <c r="B53" s="1160"/>
      <c r="C53" s="1160"/>
      <c r="D53" s="163" t="str">
        <f>IF(AND('3'!F22&gt;0,SUM('5'!F21,'5'!F45,'5'!F87,'5'!F129,'5'!F171,'5'!F213,'5'!F255,'5'!F297,'5'!F339,'5'!F381)&lt;0.95),"No","Yes")</f>
        <v>Yes</v>
      </c>
      <c r="E53" s="1161" t="str">
        <f>IF(D53="No","Include summaries for Consolidated Schoolwide Program Fund initiatives that cover 100 percent of consolidated funds.","")</f>
        <v/>
      </c>
      <c r="F53" s="1161"/>
      <c r="G53" s="1161"/>
      <c r="H53" s="1161"/>
      <c r="I53" s="1161"/>
      <c r="J53" s="1161"/>
      <c r="K53" s="162">
        <f>IF(D53="Yes",1,0)</f>
        <v>1</v>
      </c>
    </row>
    <row r="54" spans="1:11" ht="24.75" customHeight="1" x14ac:dyDescent="0.2">
      <c r="A54" s="1157" t="s">
        <v>454</v>
      </c>
      <c r="B54" s="1158"/>
      <c r="C54" s="1158"/>
      <c r="D54" s="1158"/>
      <c r="E54" s="1158"/>
      <c r="F54" s="1158"/>
      <c r="G54" s="1158"/>
      <c r="H54" s="1158"/>
      <c r="I54" s="1158"/>
      <c r="J54" s="1159"/>
    </row>
    <row r="55" spans="1:11" ht="15" customHeight="1" x14ac:dyDescent="0.2">
      <c r="A55" s="1160" t="s">
        <v>57</v>
      </c>
      <c r="B55" s="1160"/>
      <c r="C55" s="1160"/>
      <c r="D55" s="163" t="str">
        <f>IF('6'!L105=94,"Yes","No")</f>
        <v>Yes</v>
      </c>
      <c r="E55" s="1161" t="str">
        <f>IF(D55="No","Check that all columns in Category 1 are complete if any funds are being used for salaries and benefits.","")</f>
        <v/>
      </c>
      <c r="F55" s="1161"/>
      <c r="G55" s="1161"/>
      <c r="H55" s="1161"/>
      <c r="I55" s="1161"/>
      <c r="J55" s="1161"/>
      <c r="K55" s="162">
        <f t="shared" ref="K55:K60" si="3">IF(D55="Yes",1,0)</f>
        <v>1</v>
      </c>
    </row>
    <row r="56" spans="1:11" ht="15" customHeight="1" x14ac:dyDescent="0.2">
      <c r="A56" s="1160" t="s">
        <v>58</v>
      </c>
      <c r="B56" s="1160"/>
      <c r="C56" s="1160"/>
      <c r="D56" s="163" t="str">
        <f>IF('6'!L140=25,"Yes","No")</f>
        <v>Yes</v>
      </c>
      <c r="E56" s="1161" t="str">
        <f>IF(D56="No","Check that all columns in Category 2 are complete if any funds are being used for supplies and materials.","")</f>
        <v/>
      </c>
      <c r="F56" s="1161"/>
      <c r="G56" s="1161"/>
      <c r="H56" s="1161"/>
      <c r="I56" s="1161"/>
      <c r="J56" s="1161"/>
      <c r="K56" s="162">
        <f t="shared" si="3"/>
        <v>1</v>
      </c>
    </row>
    <row r="57" spans="1:11" ht="15" customHeight="1" x14ac:dyDescent="0.2">
      <c r="A57" s="1160" t="s">
        <v>136</v>
      </c>
      <c r="B57" s="1160"/>
      <c r="C57" s="1160"/>
      <c r="D57" s="163" t="str">
        <f>IF('6'!L175=25,"Yes","No")</f>
        <v>Yes</v>
      </c>
      <c r="E57" s="1161" t="str">
        <f>IF(D57="No","Check that all columns in Category 3 are complete if any funds are being used for fixed property costs.","")</f>
        <v/>
      </c>
      <c r="F57" s="1161"/>
      <c r="G57" s="1161"/>
      <c r="H57" s="1161"/>
      <c r="I57" s="1161"/>
      <c r="J57" s="1161"/>
      <c r="K57" s="162">
        <f t="shared" si="3"/>
        <v>1</v>
      </c>
    </row>
    <row r="58" spans="1:11" ht="15" customHeight="1" x14ac:dyDescent="0.2">
      <c r="A58" s="1160" t="s">
        <v>138</v>
      </c>
      <c r="B58" s="1160"/>
      <c r="C58" s="1160"/>
      <c r="D58" s="163" t="str">
        <f>IF('6'!L210=25,"Yes","No")</f>
        <v>Yes</v>
      </c>
      <c r="E58" s="1161" t="str">
        <f>IF(D58="No","Check that all columns in Category 4 are complete if any funds are being used for contractual services.","")</f>
        <v/>
      </c>
      <c r="F58" s="1161"/>
      <c r="G58" s="1161"/>
      <c r="H58" s="1161"/>
      <c r="I58" s="1161"/>
      <c r="J58" s="1161"/>
      <c r="K58" s="162">
        <f t="shared" si="3"/>
        <v>1</v>
      </c>
    </row>
    <row r="59" spans="1:11" ht="15" customHeight="1" x14ac:dyDescent="0.2">
      <c r="A59" s="1160" t="s">
        <v>61</v>
      </c>
      <c r="B59" s="1160"/>
      <c r="C59" s="1160"/>
      <c r="D59" s="163" t="str">
        <f>IF('6'!L245=25,"Yes","No")</f>
        <v>Yes</v>
      </c>
      <c r="E59" s="1161" t="str">
        <f>IF(D59="No","Check that all columns in Category 5 are complete if any funds are being used for equipment.","")</f>
        <v/>
      </c>
      <c r="F59" s="1161"/>
      <c r="G59" s="1161"/>
      <c r="H59" s="1161"/>
      <c r="I59" s="1161"/>
      <c r="J59" s="1161"/>
      <c r="K59" s="162">
        <f t="shared" si="3"/>
        <v>1</v>
      </c>
    </row>
    <row r="60" spans="1:11" ht="15" customHeight="1" x14ac:dyDescent="0.2">
      <c r="A60" s="1160" t="s">
        <v>52</v>
      </c>
      <c r="B60" s="1160"/>
      <c r="C60" s="1160"/>
      <c r="D60" s="163" t="str">
        <f>IF('6'!L280=25,"Yes","No")</f>
        <v>Yes</v>
      </c>
      <c r="E60" s="1161" t="str">
        <f>IF(D60="No","Check that all columns in Category 6 are complete if any funds are being used for other costs.","")</f>
        <v/>
      </c>
      <c r="F60" s="1161"/>
      <c r="G60" s="1161"/>
      <c r="H60" s="1161"/>
      <c r="I60" s="1161"/>
      <c r="J60" s="1161"/>
      <c r="K60" s="162">
        <f t="shared" si="3"/>
        <v>1</v>
      </c>
    </row>
    <row r="61" spans="1:11" ht="24.75" customHeight="1" x14ac:dyDescent="0.2">
      <c r="A61" s="1157" t="s">
        <v>455</v>
      </c>
      <c r="B61" s="1158"/>
      <c r="C61" s="1158"/>
      <c r="D61" s="1158"/>
      <c r="E61" s="1158"/>
      <c r="F61" s="1158"/>
      <c r="G61" s="1158"/>
      <c r="H61" s="1158"/>
      <c r="I61" s="1158"/>
      <c r="J61" s="1159"/>
    </row>
    <row r="62" spans="1:11" ht="15" customHeight="1" x14ac:dyDescent="0.2">
      <c r="A62" s="1160" t="s">
        <v>475</v>
      </c>
      <c r="B62" s="1160"/>
      <c r="C62" s="1160"/>
      <c r="D62" s="163" t="str">
        <f>IF('7'!K1="Your budget is now complete.","Yes","No")</f>
        <v>Yes</v>
      </c>
      <c r="E62" s="1161" t="str">
        <f>IF(D62="No","Revise the data provided on Tab 6 to ensure that the budget covers the total amount of funds that are being consolidated.","")</f>
        <v/>
      </c>
      <c r="F62" s="1161"/>
      <c r="G62" s="1161"/>
      <c r="H62" s="1161"/>
      <c r="I62" s="1161"/>
      <c r="J62" s="1161"/>
      <c r="K62" s="162">
        <f>IF(D62="Yes",1,0)</f>
        <v>1</v>
      </c>
    </row>
    <row r="63" spans="1:11" ht="24.75" customHeight="1" x14ac:dyDescent="0.2">
      <c r="A63" s="1157" t="s">
        <v>456</v>
      </c>
      <c r="B63" s="1158"/>
      <c r="C63" s="1158"/>
      <c r="D63" s="1158"/>
      <c r="E63" s="1158"/>
      <c r="F63" s="1158"/>
      <c r="G63" s="1158"/>
      <c r="H63" s="1158"/>
      <c r="I63" s="1158"/>
      <c r="J63" s="1159"/>
    </row>
    <row r="64" spans="1:11" ht="15" customHeight="1" x14ac:dyDescent="0.2">
      <c r="A64" s="1160" t="s">
        <v>491</v>
      </c>
      <c r="B64" s="1160"/>
      <c r="C64" s="1160"/>
      <c r="D64" s="163" t="str">
        <f>IF(OR(LEN('8'!F22)&gt;LEN('8'!A27),LEN('8'!F45)&gt;LEN('8'!A50),LEN('8'!F87)&gt;LEN('8'!A92),LEN('8'!F129)&gt;LEN('8'!A134),LEN('8'!F171)&gt;LEN('8'!A176),LEN('8'!F213)&gt;LEN('8'!A218),LEN('8'!F255)&gt;LEN('8'!A260),LEN('8'!F297)&gt;LEN('8'!A302), LEN('8'!F339)&gt;LEN('8'!A344),LEN('8'!F381)&gt;LEN('8'!A386)),"No","Yes")</f>
        <v>Yes</v>
      </c>
      <c r="E64" s="1161" t="str">
        <f>IF(D64="No","For each initiative for which Title I (unconsolidated, non set-aside) funds will be budgeted, provide a summary of the planned activities.","")</f>
        <v/>
      </c>
      <c r="F64" s="1161"/>
      <c r="G64" s="1161"/>
      <c r="H64" s="1161"/>
      <c r="I64" s="1161"/>
      <c r="J64" s="1161"/>
      <c r="K64" s="162">
        <f>IF(D64="Yes",1,0)</f>
        <v>1</v>
      </c>
    </row>
    <row r="65" spans="1:11" ht="15" customHeight="1" x14ac:dyDescent="0.2">
      <c r="A65" s="1160" t="s">
        <v>489</v>
      </c>
      <c r="B65" s="1160"/>
      <c r="C65" s="1160"/>
      <c r="D65" s="163" t="str">
        <f>IF(AND(('3'!F18&lt;'3'!F17),SUM('8'!F22,'8'!F45,'8'!F87,'8'!F129,'8'!F171,'8'!F213,'8'!F255,'8'!F297,'8'!F339,'8'!F381)&lt;0.95),"No","Yes")</f>
        <v>Yes</v>
      </c>
      <c r="E65" s="1161" t="str">
        <f>IF(D65="No","Include summaries for Title I, Part A initiatives that cover 100 percent of Title I (unconsolidated, non set-aside) funds.","")</f>
        <v/>
      </c>
      <c r="F65" s="1161"/>
      <c r="G65" s="1161"/>
      <c r="H65" s="1161"/>
      <c r="I65" s="1161"/>
      <c r="J65" s="1161"/>
      <c r="K65" s="162">
        <f>IF(D65="Yes",1,0)</f>
        <v>1</v>
      </c>
    </row>
    <row r="66" spans="1:11" ht="24.75" customHeight="1" x14ac:dyDescent="0.2">
      <c r="A66" s="1157" t="s">
        <v>457</v>
      </c>
      <c r="B66" s="1158"/>
      <c r="C66" s="1158"/>
      <c r="D66" s="1158"/>
      <c r="E66" s="1158"/>
      <c r="F66" s="1158"/>
      <c r="G66" s="1158"/>
      <c r="H66" s="1158"/>
      <c r="I66" s="1158"/>
      <c r="J66" s="1159"/>
    </row>
    <row r="67" spans="1:11" ht="15" customHeight="1" x14ac:dyDescent="0.2">
      <c r="A67" s="1160" t="s">
        <v>57</v>
      </c>
      <c r="B67" s="1160"/>
      <c r="C67" s="1160"/>
      <c r="D67" s="163" t="str">
        <f>IF('9'!M125=29,"Yes","No")</f>
        <v>Yes</v>
      </c>
      <c r="E67" s="1161" t="str">
        <f>IF(D67="No","Check that all columns in Category 1 are complete if any funds are being used for salaries and benefits.","")</f>
        <v/>
      </c>
      <c r="F67" s="1161"/>
      <c r="G67" s="1161"/>
      <c r="H67" s="1161"/>
      <c r="I67" s="1161"/>
      <c r="J67" s="1161"/>
      <c r="K67" s="162">
        <f t="shared" ref="K67:K72" si="4">IF(D67="Yes",1,0)</f>
        <v>1</v>
      </c>
    </row>
    <row r="68" spans="1:11" ht="15" customHeight="1" x14ac:dyDescent="0.2">
      <c r="A68" s="1160" t="s">
        <v>58</v>
      </c>
      <c r="B68" s="1160"/>
      <c r="C68" s="1160"/>
      <c r="D68" s="163" t="str">
        <f>IF('9'!M155=23,"Yes","No")</f>
        <v>No</v>
      </c>
      <c r="E68" s="1161" t="str">
        <f>IF(D68="No","Check that all columns in Category 2 are complete if any funds are being used for supplies and materials.","")</f>
        <v>Check that all columns in Category 2 are complete if any funds are being used for supplies and materials.</v>
      </c>
      <c r="F68" s="1161"/>
      <c r="G68" s="1161"/>
      <c r="H68" s="1161"/>
      <c r="I68" s="1161"/>
      <c r="J68" s="1161"/>
      <c r="K68" s="162">
        <f t="shared" si="4"/>
        <v>0</v>
      </c>
    </row>
    <row r="69" spans="1:11" ht="15" customHeight="1" x14ac:dyDescent="0.2">
      <c r="A69" s="1160" t="s">
        <v>136</v>
      </c>
      <c r="B69" s="1160"/>
      <c r="C69" s="1160"/>
      <c r="D69" s="163" t="str">
        <f>IF('9'!M190=25,"Yes","No")</f>
        <v>Yes</v>
      </c>
      <c r="E69" s="1161" t="str">
        <f>IF(D69="No","Check that all columns in Category 3 are complete if any funds are being used for fixed property costs.","")</f>
        <v/>
      </c>
      <c r="F69" s="1161"/>
      <c r="G69" s="1161"/>
      <c r="H69" s="1161"/>
      <c r="I69" s="1161"/>
      <c r="J69" s="1161"/>
      <c r="K69" s="162">
        <f t="shared" si="4"/>
        <v>1</v>
      </c>
    </row>
    <row r="70" spans="1:11" ht="15" customHeight="1" x14ac:dyDescent="0.2">
      <c r="A70" s="1160" t="s">
        <v>138</v>
      </c>
      <c r="B70" s="1160"/>
      <c r="C70" s="1160"/>
      <c r="D70" s="163" t="str">
        <f>IF('9'!M230=30,"Yes","No")</f>
        <v>Yes</v>
      </c>
      <c r="E70" s="1161" t="str">
        <f>IF(D70="No","Check that all columns in Category 4 are complete if any funds are being used for contractual services.","")</f>
        <v/>
      </c>
      <c r="F70" s="1161"/>
      <c r="G70" s="1161"/>
      <c r="H70" s="1161"/>
      <c r="I70" s="1161"/>
      <c r="J70" s="1161"/>
      <c r="K70" s="162">
        <f t="shared" si="4"/>
        <v>1</v>
      </c>
    </row>
    <row r="71" spans="1:11" ht="15" customHeight="1" x14ac:dyDescent="0.2">
      <c r="A71" s="1160" t="s">
        <v>61</v>
      </c>
      <c r="B71" s="1160"/>
      <c r="C71" s="1160"/>
      <c r="D71" s="163" t="str">
        <f>IF('9'!M265=25,"Yes","No")</f>
        <v>Yes</v>
      </c>
      <c r="E71" s="1161" t="str">
        <f>IF(D71="No","Check that all columns in Category 5 are complete if any funds are being used for equipment.","")</f>
        <v/>
      </c>
      <c r="F71" s="1161"/>
      <c r="G71" s="1161"/>
      <c r="H71" s="1161"/>
      <c r="I71" s="1161"/>
      <c r="J71" s="1161"/>
      <c r="K71" s="162">
        <f t="shared" si="4"/>
        <v>1</v>
      </c>
    </row>
    <row r="72" spans="1:11" ht="15" customHeight="1" x14ac:dyDescent="0.2">
      <c r="A72" s="1160" t="s">
        <v>52</v>
      </c>
      <c r="B72" s="1160"/>
      <c r="C72" s="1160"/>
      <c r="D72" s="163" t="str">
        <f>IF('9'!M300=25,"Yes","No")</f>
        <v>No</v>
      </c>
      <c r="E72" s="1161" t="str">
        <f>IF(D72="No","Check that all columns in Category 6 are complete if any funds are being used for other costs.","")</f>
        <v>Check that all columns in Category 6 are complete if any funds are being used for other costs.</v>
      </c>
      <c r="F72" s="1161"/>
      <c r="G72" s="1161"/>
      <c r="H72" s="1161"/>
      <c r="I72" s="1161"/>
      <c r="J72" s="1161"/>
      <c r="K72" s="162">
        <f t="shared" si="4"/>
        <v>0</v>
      </c>
    </row>
    <row r="73" spans="1:11" ht="15.75" x14ac:dyDescent="0.2">
      <c r="A73" s="1157" t="s">
        <v>458</v>
      </c>
      <c r="B73" s="1158"/>
      <c r="C73" s="1158"/>
      <c r="D73" s="1158"/>
      <c r="E73" s="1158"/>
      <c r="F73" s="1158"/>
      <c r="G73" s="1158"/>
      <c r="H73" s="1158"/>
      <c r="I73" s="1158"/>
      <c r="J73" s="1159"/>
    </row>
    <row r="74" spans="1:11" ht="15" customHeight="1" x14ac:dyDescent="0.2">
      <c r="A74" s="1160" t="s">
        <v>474</v>
      </c>
      <c r="B74" s="1160"/>
      <c r="C74" s="1160"/>
      <c r="D74" s="163" t="str">
        <f ca="1">IF('10'!K1="Your budget is now complete.","Yes","No")</f>
        <v>Yes</v>
      </c>
      <c r="E74" s="1161" t="str">
        <f ca="1">IF(D74="No","Revise the data provided on Tab 9 to ensure that the budget covers the full Title I allocation, minus any Title I funds that were consolidated.","")</f>
        <v/>
      </c>
      <c r="F74" s="1161"/>
      <c r="G74" s="1161"/>
      <c r="H74" s="1161"/>
      <c r="I74" s="1161"/>
      <c r="J74" s="1161"/>
      <c r="K74" s="162">
        <f ca="1">IF(D74="Yes",1,0)</f>
        <v>1</v>
      </c>
    </row>
    <row r="75" spans="1:11" ht="24.75" customHeight="1" x14ac:dyDescent="0.2">
      <c r="A75" s="1157" t="s">
        <v>466</v>
      </c>
      <c r="B75" s="1158"/>
      <c r="C75" s="1158"/>
      <c r="D75" s="1158"/>
      <c r="E75" s="1158"/>
      <c r="F75" s="1158"/>
      <c r="G75" s="1158"/>
      <c r="H75" s="1158"/>
      <c r="I75" s="1158"/>
      <c r="J75" s="1159"/>
    </row>
    <row r="76" spans="1:11" ht="15" customHeight="1" x14ac:dyDescent="0.2">
      <c r="A76" s="1160" t="s">
        <v>492</v>
      </c>
      <c r="B76" s="1160"/>
      <c r="C76" s="1160"/>
      <c r="D76" s="163" t="str">
        <f>IF(AND(('1'!E28-'3'!F19)&gt;0,OR('11'!B16="",'11'!B45="",AND('11'!B28="",'11'!B30="",'11'!B32="",'11'!B35="",'11'!B37="",'11'!B39="",'11'!B41=""))),"No","Yes")</f>
        <v>Yes</v>
      </c>
      <c r="E76" s="1161" t="str">
        <f>IF(D76="No","Check all assurances included on the Title II planning worksheet.","")</f>
        <v/>
      </c>
      <c r="F76" s="1161"/>
      <c r="G76" s="1161"/>
      <c r="H76" s="1161"/>
      <c r="I76" s="1161"/>
      <c r="J76" s="1161"/>
      <c r="K76" s="162">
        <f>IF(D76="Yes",1,0)</f>
        <v>1</v>
      </c>
    </row>
    <row r="77" spans="1:11" ht="24.75" customHeight="1" x14ac:dyDescent="0.2">
      <c r="A77" s="1157" t="s">
        <v>459</v>
      </c>
      <c r="B77" s="1158"/>
      <c r="C77" s="1158"/>
      <c r="D77" s="1158"/>
      <c r="E77" s="1158"/>
      <c r="F77" s="1158"/>
      <c r="G77" s="1158"/>
      <c r="H77" s="1158"/>
      <c r="I77" s="1158"/>
      <c r="J77" s="1159"/>
    </row>
    <row r="78" spans="1:11" ht="15" customHeight="1" x14ac:dyDescent="0.2">
      <c r="A78" s="1160" t="s">
        <v>491</v>
      </c>
      <c r="B78" s="1160"/>
      <c r="C78" s="1160"/>
      <c r="D78" s="163" t="str">
        <f>IF(OR(LEN('12'!F13)&gt;LEN('12'!A18),LEN('12'!F45)&gt;LEN('12'!A50),LEN('12'!F87)&gt;LEN('12'!A92),LEN('12'!F129)&gt;LEN('12'!A134),LEN('12'!F171)&gt;LEN('12'!A176),LEN('12'!F213)&gt;LEN('12'!A218),LEN('12'!F255)&gt;LEN('12'!A260),LEN('12'!F297)&gt;LEN('12'!A302), LEN('12'!F339)&gt;LEN('12'!A344),LEN('12'!F381)&gt;LEN('12'!A386)),"No","Yes")</f>
        <v>Yes</v>
      </c>
      <c r="E78" s="1161" t="str">
        <f>IF(D78="No","For each initiative/strategy for which any Title II funds will be budgeted, provide a summary of the planned activities.","")</f>
        <v/>
      </c>
      <c r="F78" s="1161"/>
      <c r="G78" s="1161"/>
      <c r="H78" s="1161"/>
      <c r="I78" s="1161"/>
      <c r="J78" s="1161"/>
      <c r="K78" s="162">
        <f>IF(D78="Yes",1,0)</f>
        <v>1</v>
      </c>
    </row>
    <row r="79" spans="1:11" ht="15" customHeight="1" x14ac:dyDescent="0.2">
      <c r="A79" s="1160" t="s">
        <v>489</v>
      </c>
      <c r="B79" s="1160"/>
      <c r="C79" s="1160"/>
      <c r="D79" s="163" t="str">
        <f>IF(AND(('1'!E28-'3'!F19)&gt;0,SUM('12'!F13,'12'!F45,'12'!F87,'12'!F129,'12'!F171,'12'!F213,'12'!F255,'12'!F297,'12'!F339,'12'!F381)&lt;0.95),"No","Yes")</f>
        <v>Yes</v>
      </c>
      <c r="E79" s="1161" t="str">
        <f>IF(D79="No","Include summaries for Title II, Part A initiatives that cover 100 percent of Title II, Part A funds.","")</f>
        <v/>
      </c>
      <c r="F79" s="1161"/>
      <c r="G79" s="1161"/>
      <c r="H79" s="1161"/>
      <c r="I79" s="1161"/>
      <c r="J79" s="1161"/>
      <c r="K79" s="162">
        <f>IF(D79="Yes",1,0)</f>
        <v>1</v>
      </c>
    </row>
    <row r="80" spans="1:11" ht="24.75" customHeight="1" x14ac:dyDescent="0.2">
      <c r="A80" s="1157" t="s">
        <v>460</v>
      </c>
      <c r="B80" s="1158"/>
      <c r="C80" s="1158"/>
      <c r="D80" s="1158"/>
      <c r="E80" s="1158"/>
      <c r="F80" s="1158"/>
      <c r="G80" s="1158"/>
      <c r="H80" s="1158"/>
      <c r="I80" s="1158"/>
      <c r="J80" s="1159"/>
    </row>
    <row r="81" spans="1:11" ht="15" customHeight="1" x14ac:dyDescent="0.2">
      <c r="A81" s="1160" t="s">
        <v>57</v>
      </c>
      <c r="B81" s="1160"/>
      <c r="C81" s="1160"/>
      <c r="D81" s="163" t="str">
        <f>IF('13'!M44=29,"Yes","No")</f>
        <v>Yes</v>
      </c>
      <c r="E81" s="1161" t="str">
        <f>IF(D81="No","Check that all columns in Category 1 are complete if any funds are being used for salaries and benefits.","")</f>
        <v/>
      </c>
      <c r="F81" s="1161"/>
      <c r="G81" s="1161"/>
      <c r="H81" s="1161"/>
      <c r="I81" s="1161"/>
      <c r="J81" s="1161"/>
      <c r="K81" s="162">
        <f t="shared" ref="K81:K86" si="5">IF(D81="Yes",1,0)</f>
        <v>1</v>
      </c>
    </row>
    <row r="82" spans="1:11" ht="15" customHeight="1" x14ac:dyDescent="0.2">
      <c r="A82" s="1160" t="s">
        <v>58</v>
      </c>
      <c r="B82" s="1160"/>
      <c r="C82" s="1160"/>
      <c r="D82" s="163" t="str">
        <f>IF('13'!M79=25,"Yes","No")</f>
        <v>Yes</v>
      </c>
      <c r="E82" s="1161" t="str">
        <f>IF(D82="No","Check that all columns in Category 2 are complete if any funds are being used for supplies and materials.","")</f>
        <v/>
      </c>
      <c r="F82" s="1161"/>
      <c r="G82" s="1161"/>
      <c r="H82" s="1161"/>
      <c r="I82" s="1161"/>
      <c r="J82" s="1161"/>
      <c r="K82" s="162">
        <f t="shared" si="5"/>
        <v>1</v>
      </c>
    </row>
    <row r="83" spans="1:11" ht="15" customHeight="1" x14ac:dyDescent="0.2">
      <c r="A83" s="1160" t="s">
        <v>136</v>
      </c>
      <c r="B83" s="1160"/>
      <c r="C83" s="1160"/>
      <c r="D83" s="163" t="str">
        <f>IF('13'!M114=25,"Yes","No")</f>
        <v>Yes</v>
      </c>
      <c r="E83" s="1161" t="str">
        <f>IF(D83="No","Check that all columns in Category 3 are complete if any funds are being used for fixed property costs.","")</f>
        <v/>
      </c>
      <c r="F83" s="1161"/>
      <c r="G83" s="1161"/>
      <c r="H83" s="1161"/>
      <c r="I83" s="1161"/>
      <c r="J83" s="1161"/>
      <c r="K83" s="162">
        <f t="shared" si="5"/>
        <v>1</v>
      </c>
    </row>
    <row r="84" spans="1:11" ht="15" customHeight="1" x14ac:dyDescent="0.2">
      <c r="A84" s="1160" t="s">
        <v>138</v>
      </c>
      <c r="B84" s="1160"/>
      <c r="C84" s="1160"/>
      <c r="D84" s="163" t="str">
        <f>IF('13'!M149=25,"Yes","No")</f>
        <v>Yes</v>
      </c>
      <c r="E84" s="1161" t="str">
        <f>IF(D84="No","Check that all columns in Category 4 are complete if any funds are being used for contractual services.","")</f>
        <v/>
      </c>
      <c r="F84" s="1161"/>
      <c r="G84" s="1161"/>
      <c r="H84" s="1161"/>
      <c r="I84" s="1161"/>
      <c r="J84" s="1161"/>
      <c r="K84" s="162">
        <f t="shared" si="5"/>
        <v>1</v>
      </c>
    </row>
    <row r="85" spans="1:11" ht="15" customHeight="1" x14ac:dyDescent="0.2">
      <c r="A85" s="1160" t="s">
        <v>61</v>
      </c>
      <c r="B85" s="1160"/>
      <c r="C85" s="1160"/>
      <c r="D85" s="163" t="str">
        <f>IF('13'!M184=25,"Yes","No")</f>
        <v>Yes</v>
      </c>
      <c r="E85" s="1161" t="str">
        <f>IF(D85="No","Check that all columns in Category 5 are complete if any funds are being used for equipment.","")</f>
        <v/>
      </c>
      <c r="F85" s="1161"/>
      <c r="G85" s="1161"/>
      <c r="H85" s="1161"/>
      <c r="I85" s="1161"/>
      <c r="J85" s="1161"/>
      <c r="K85" s="162">
        <f t="shared" si="5"/>
        <v>1</v>
      </c>
    </row>
    <row r="86" spans="1:11" ht="15" customHeight="1" x14ac:dyDescent="0.2">
      <c r="A86" s="1160" t="s">
        <v>52</v>
      </c>
      <c r="B86" s="1160"/>
      <c r="C86" s="1160"/>
      <c r="D86" s="163" t="str">
        <f>IF('13'!M217=23,"Yes","No")</f>
        <v>Yes</v>
      </c>
      <c r="E86" s="1161" t="str">
        <f>IF(D86="No","Check that all columns in Category 6 are complete if any funds are being used for other costs.","")</f>
        <v/>
      </c>
      <c r="F86" s="1161"/>
      <c r="G86" s="1161"/>
      <c r="H86" s="1161"/>
      <c r="I86" s="1161"/>
      <c r="J86" s="1161"/>
      <c r="K86" s="162">
        <f t="shared" si="5"/>
        <v>1</v>
      </c>
    </row>
    <row r="87" spans="1:11" ht="15.75" x14ac:dyDescent="0.2">
      <c r="A87" s="1157" t="s">
        <v>461</v>
      </c>
      <c r="B87" s="1158"/>
      <c r="C87" s="1158"/>
      <c r="D87" s="1158"/>
      <c r="E87" s="1158"/>
      <c r="F87" s="1158"/>
      <c r="G87" s="1158"/>
      <c r="H87" s="1158"/>
      <c r="I87" s="1158"/>
      <c r="J87" s="1159"/>
    </row>
    <row r="88" spans="1:11" ht="15" customHeight="1" x14ac:dyDescent="0.2">
      <c r="A88" s="1160" t="s">
        <v>472</v>
      </c>
      <c r="B88" s="1160"/>
      <c r="C88" s="1160"/>
      <c r="D88" s="163" t="str">
        <f>IF('14'!K1="Your budget is now complete.","Yes","No")</f>
        <v>Yes</v>
      </c>
      <c r="E88" s="1161" t="str">
        <f>IF(D88="No","Revise the data provided on Tab 13 to ensure that the budget covers the full Title II allocation, minus any Title II funds that were consolidated.","")</f>
        <v/>
      </c>
      <c r="F88" s="1161"/>
      <c r="G88" s="1161"/>
      <c r="H88" s="1161"/>
      <c r="I88" s="1161"/>
      <c r="J88" s="1161"/>
      <c r="K88" s="162">
        <f>IF(D88="Yes",1,0)</f>
        <v>1</v>
      </c>
    </row>
    <row r="89" spans="1:11" ht="24.75" customHeight="1" x14ac:dyDescent="0.2">
      <c r="A89" s="1157" t="s">
        <v>465</v>
      </c>
      <c r="B89" s="1158"/>
      <c r="C89" s="1158"/>
      <c r="D89" s="1158"/>
      <c r="E89" s="1158"/>
      <c r="F89" s="1158"/>
      <c r="G89" s="1158"/>
      <c r="H89" s="1158"/>
      <c r="I89" s="1158"/>
      <c r="J89" s="1159"/>
    </row>
    <row r="90" spans="1:11" ht="15" customHeight="1" x14ac:dyDescent="0.2">
      <c r="A90" s="1160" t="s">
        <v>493</v>
      </c>
      <c r="B90" s="1160"/>
      <c r="C90" s="1160"/>
      <c r="D90" s="163" t="str">
        <f>IF(AND(('1'!H28-'3'!F20)&gt;0,OR('15'!B10="",'15'!B13="")),"No","Yes")</f>
        <v>Yes</v>
      </c>
      <c r="E90" s="1161" t="str">
        <f>IF(D90="No","Check all assurances included on the Title III planning worksheet.","")</f>
        <v/>
      </c>
      <c r="F90" s="1161"/>
      <c r="G90" s="1161"/>
      <c r="H90" s="1161"/>
      <c r="I90" s="1161"/>
      <c r="J90" s="1161"/>
      <c r="K90" s="162">
        <f>IF(D90="Yes",1,0)</f>
        <v>1</v>
      </c>
    </row>
    <row r="91" spans="1:11" ht="15" customHeight="1" x14ac:dyDescent="0.2">
      <c r="A91" s="1160" t="s">
        <v>494</v>
      </c>
      <c r="B91" s="1160"/>
      <c r="C91" s="1160"/>
      <c r="D91" s="163" t="str">
        <f>IF(AND(('1'!H28-'3'!F20)&gt;0,OR(LEN('15'!A22)&lt;20,LEN('15'!A47)&lt;20)),"No","Yes")</f>
        <v>Yes</v>
      </c>
      <c r="E91" s="1161" t="str">
        <f>IF(D91="No","Provide descriptions of how the LEA meets the two planning requirements for Title III, Part A.","")</f>
        <v/>
      </c>
      <c r="F91" s="1161"/>
      <c r="G91" s="1161"/>
      <c r="H91" s="1161"/>
      <c r="I91" s="1161"/>
      <c r="J91" s="1161"/>
      <c r="K91" s="162">
        <f>IF(D91="Yes",1,0)</f>
        <v>1</v>
      </c>
    </row>
    <row r="92" spans="1:11" ht="24.75" customHeight="1" x14ac:dyDescent="0.2">
      <c r="A92" s="1157" t="s">
        <v>462</v>
      </c>
      <c r="B92" s="1158"/>
      <c r="C92" s="1158"/>
      <c r="D92" s="1158"/>
      <c r="E92" s="1158"/>
      <c r="F92" s="1158"/>
      <c r="G92" s="1158"/>
      <c r="H92" s="1158"/>
      <c r="I92" s="1158"/>
      <c r="J92" s="1159"/>
    </row>
    <row r="93" spans="1:11" ht="15" customHeight="1" x14ac:dyDescent="0.2">
      <c r="A93" s="1160" t="s">
        <v>486</v>
      </c>
      <c r="B93" s="1160"/>
      <c r="C93" s="1160"/>
      <c r="D93" s="163" t="str">
        <f>IF(AND(('1'!H28-'3'!F20)&gt;0,OR('16'!F13="",LEN('16'!A18)&lt;30)),"No","Yes")</f>
        <v>Yes</v>
      </c>
      <c r="E93" s="1161" t="str">
        <f>IF(D93="No","Indicate a percentage of the LEA's Title III allocation that will be used for this required strategy and provide a summary of planned activities.","")</f>
        <v/>
      </c>
      <c r="F93" s="1161"/>
      <c r="G93" s="1161"/>
      <c r="H93" s="1161"/>
      <c r="I93" s="1161"/>
      <c r="J93" s="1161"/>
      <c r="K93" s="162">
        <f>IF(D93="Yes",1,0)</f>
        <v>1</v>
      </c>
    </row>
    <row r="94" spans="1:11" ht="15" customHeight="1" x14ac:dyDescent="0.2">
      <c r="A94" s="1160" t="s">
        <v>487</v>
      </c>
      <c r="B94" s="1160"/>
      <c r="C94" s="1160"/>
      <c r="D94" s="163" t="str">
        <f>IF(AND(('1'!H28-'3'!F20)&gt;0,OR('16'!F45="",LEN('16'!A50)&lt;30)),"No","Yes")</f>
        <v>Yes</v>
      </c>
      <c r="E94" s="1161" t="str">
        <f>IF(D94="No","Indicate a percentage of the LEA's Title III allocation that will be used for this required strategy and provide a summary of planned activities.","")</f>
        <v/>
      </c>
      <c r="F94" s="1161"/>
      <c r="G94" s="1161"/>
      <c r="H94" s="1161"/>
      <c r="I94" s="1161"/>
      <c r="J94" s="1161"/>
      <c r="K94" s="162">
        <f>IF(D94="Yes",1,0)</f>
        <v>1</v>
      </c>
    </row>
    <row r="95" spans="1:11" ht="15" customHeight="1" x14ac:dyDescent="0.2">
      <c r="A95" s="1160" t="s">
        <v>488</v>
      </c>
      <c r="B95" s="1160"/>
      <c r="C95" s="1160"/>
      <c r="D95" s="163" t="str">
        <f>IF(OR(LEN('16'!F87)&gt;LEN('16'!A92),LEN('16'!F129)&gt;LEN('16'!A134),LEN('16'!F171)&gt;LEN('16'!A176),LEN('16'!F213)&gt;LEN('16'!A218),LEN('16'!F255)&gt;LEN('16'!A260),LEN('16'!F297)&gt;LEN('16'!A302),LEN('16'!F339)&gt;LEN('16'!A344),LEN('16'!F381)&gt;LEN('16'!A386)),"No","Yes")</f>
        <v>Yes</v>
      </c>
      <c r="E95" s="1161" t="str">
        <f>IF(D95="No","For each initiative/strategy for which any Title III funds will be budgeted, provide a summary of the planned activities.","")</f>
        <v/>
      </c>
      <c r="F95" s="1161"/>
      <c r="G95" s="1161"/>
      <c r="H95" s="1161"/>
      <c r="I95" s="1161"/>
      <c r="J95" s="1161"/>
      <c r="K95" s="162">
        <f>IF(D95="Yes",1,0)</f>
        <v>1</v>
      </c>
    </row>
    <row r="96" spans="1:11" s="165" customFormat="1" ht="15" customHeight="1" x14ac:dyDescent="0.2">
      <c r="A96" s="1166" t="s">
        <v>489</v>
      </c>
      <c r="B96" s="1166"/>
      <c r="C96" s="1166"/>
      <c r="D96" s="318" t="str">
        <f>IF(AND(('1'!H28-'3'!F20)&gt;0,SUM('16'!F13,'16'!F45,'16'!F87,'16'!F129,'16'!F171,'16'!F213,'16'!F255,'16'!F297,'16'!F339,'16'!F381)&lt;0.95),"No","Yes")</f>
        <v>Yes</v>
      </c>
      <c r="E96" s="1167" t="str">
        <f>IF(D96="No","Include summaries for Title III, Part A initiatives that cover 100 percent of Title III, Part A funds.","")</f>
        <v/>
      </c>
      <c r="F96" s="1167"/>
      <c r="G96" s="1167"/>
      <c r="H96" s="1167"/>
      <c r="I96" s="1167"/>
      <c r="J96" s="1167"/>
      <c r="K96" s="165">
        <f>IF(D96="Yes",1,0)</f>
        <v>1</v>
      </c>
    </row>
    <row r="97" spans="1:11" ht="24.75" customHeight="1" x14ac:dyDescent="0.2">
      <c r="A97" s="1157" t="s">
        <v>463</v>
      </c>
      <c r="B97" s="1158"/>
      <c r="C97" s="1158"/>
      <c r="D97" s="1158"/>
      <c r="E97" s="1158"/>
      <c r="F97" s="1158"/>
      <c r="G97" s="1158"/>
      <c r="H97" s="1158"/>
      <c r="I97" s="1158"/>
      <c r="J97" s="1159"/>
    </row>
    <row r="98" spans="1:11" ht="15" customHeight="1" x14ac:dyDescent="0.2">
      <c r="A98" s="1160" t="s">
        <v>57</v>
      </c>
      <c r="B98" s="1160"/>
      <c r="C98" s="1160"/>
      <c r="D98" s="163" t="str">
        <f>IF('17'!M38=24,"Yes","No")</f>
        <v>Yes</v>
      </c>
      <c r="E98" s="1161" t="str">
        <f>IF(D98="No","Check that all columns in Category 1 are complete if any funds are being used for salaries and benefits.","")</f>
        <v/>
      </c>
      <c r="F98" s="1161"/>
      <c r="G98" s="1161"/>
      <c r="H98" s="1161"/>
      <c r="I98" s="1161"/>
      <c r="J98" s="1161"/>
      <c r="K98" s="162">
        <f t="shared" ref="K98:K103" si="6">IF(D98="Yes",1,0)</f>
        <v>1</v>
      </c>
    </row>
    <row r="99" spans="1:11" ht="15" customHeight="1" x14ac:dyDescent="0.2">
      <c r="A99" s="1160" t="s">
        <v>58</v>
      </c>
      <c r="B99" s="1160"/>
      <c r="C99" s="1160"/>
      <c r="D99" s="163" t="str">
        <f>IF('17'!M73=25,"Yes","No")</f>
        <v>Yes</v>
      </c>
      <c r="E99" s="1161" t="str">
        <f>IF(D99="No","Check that all columns in Category 2 are complete if any funds are being used for supplies and materials.","")</f>
        <v/>
      </c>
      <c r="F99" s="1161"/>
      <c r="G99" s="1161"/>
      <c r="H99" s="1161"/>
      <c r="I99" s="1161"/>
      <c r="J99" s="1161"/>
      <c r="K99" s="162">
        <f t="shared" si="6"/>
        <v>1</v>
      </c>
    </row>
    <row r="100" spans="1:11" ht="15" customHeight="1" x14ac:dyDescent="0.2">
      <c r="A100" s="1160" t="s">
        <v>136</v>
      </c>
      <c r="B100" s="1160"/>
      <c r="C100" s="1160"/>
      <c r="D100" s="163" t="str">
        <f>IF('17'!M108=25,"Yes","No")</f>
        <v>Yes</v>
      </c>
      <c r="E100" s="1161" t="str">
        <f>IF(D100="No","Check that all columns in Category 3 are complete if any funds are being used for fixed property costs.","")</f>
        <v/>
      </c>
      <c r="F100" s="1161"/>
      <c r="G100" s="1161"/>
      <c r="H100" s="1161"/>
      <c r="I100" s="1161"/>
      <c r="J100" s="1161"/>
      <c r="K100" s="162">
        <f t="shared" si="6"/>
        <v>1</v>
      </c>
    </row>
    <row r="101" spans="1:11" ht="15" customHeight="1" x14ac:dyDescent="0.2">
      <c r="A101" s="1160" t="s">
        <v>138</v>
      </c>
      <c r="B101" s="1160"/>
      <c r="C101" s="1160"/>
      <c r="D101" s="163" t="str">
        <f>IF('17'!M135=17,"Yes","No")</f>
        <v>Yes</v>
      </c>
      <c r="E101" s="1161" t="str">
        <f>IF(D101="No","Check that all columns in Category 4 are complete if any funds are being used for contractual services.","")</f>
        <v/>
      </c>
      <c r="F101" s="1161"/>
      <c r="G101" s="1161"/>
      <c r="H101" s="1161"/>
      <c r="I101" s="1161"/>
      <c r="J101" s="1161"/>
      <c r="K101" s="162">
        <f t="shared" si="6"/>
        <v>1</v>
      </c>
    </row>
    <row r="102" spans="1:11" ht="15" customHeight="1" x14ac:dyDescent="0.2">
      <c r="A102" s="1160" t="s">
        <v>61</v>
      </c>
      <c r="B102" s="1160"/>
      <c r="C102" s="1160"/>
      <c r="D102" s="163" t="str">
        <f>IF('17'!M170=25,"Yes","No")</f>
        <v>Yes</v>
      </c>
      <c r="E102" s="1161" t="str">
        <f>IF(D102="No","Check that all columns in Category 5 are complete if any funds are being used for equipment.","")</f>
        <v/>
      </c>
      <c r="F102" s="1161"/>
      <c r="G102" s="1161"/>
      <c r="H102" s="1161"/>
      <c r="I102" s="1161"/>
      <c r="J102" s="1161"/>
      <c r="K102" s="162">
        <f t="shared" si="6"/>
        <v>1</v>
      </c>
    </row>
    <row r="103" spans="1:11" ht="15" customHeight="1" x14ac:dyDescent="0.2">
      <c r="A103" s="1160" t="s">
        <v>52</v>
      </c>
      <c r="B103" s="1160"/>
      <c r="C103" s="1160"/>
      <c r="D103" s="163" t="str">
        <f>IF('17'!M205=25,"Yes","No")</f>
        <v>Yes</v>
      </c>
      <c r="E103" s="1161" t="str">
        <f>IF(D103="No","Check that all columns in Category 6 are complete if any funds are being used for other costs.","")</f>
        <v/>
      </c>
      <c r="F103" s="1161"/>
      <c r="G103" s="1161"/>
      <c r="H103" s="1161"/>
      <c r="I103" s="1161"/>
      <c r="J103" s="1161"/>
      <c r="K103" s="162">
        <f t="shared" si="6"/>
        <v>1</v>
      </c>
    </row>
    <row r="104" spans="1:11" ht="15.75" x14ac:dyDescent="0.2">
      <c r="A104" s="1157" t="s">
        <v>464</v>
      </c>
      <c r="B104" s="1158"/>
      <c r="C104" s="1158"/>
      <c r="D104" s="1158"/>
      <c r="E104" s="1158"/>
      <c r="F104" s="1158"/>
      <c r="G104" s="1158"/>
      <c r="H104" s="1158"/>
      <c r="I104" s="1158"/>
      <c r="J104" s="1159"/>
    </row>
    <row r="105" spans="1:11" ht="15" customHeight="1" x14ac:dyDescent="0.2">
      <c r="A105" s="1160" t="s">
        <v>473</v>
      </c>
      <c r="B105" s="1160"/>
      <c r="C105" s="1160"/>
      <c r="D105" s="163" t="str">
        <f>IF('18'!K1="Your budget is now complete.","Yes","No")</f>
        <v>Yes</v>
      </c>
      <c r="E105" s="1161" t="str">
        <f>IF(D105="No","Revise the data provided on Tab 17 to ensure that the budget covers the full Title III allocation, minus any Title III funds that were consolidated.","")</f>
        <v/>
      </c>
      <c r="F105" s="1161"/>
      <c r="G105" s="1161"/>
      <c r="H105" s="1161"/>
      <c r="I105" s="1161"/>
      <c r="J105" s="1161"/>
      <c r="K105" s="162">
        <f>IF(D105="Yes",1,0)</f>
        <v>1</v>
      </c>
    </row>
    <row r="106" spans="1:11" ht="15" customHeight="1" x14ac:dyDescent="0.2">
      <c r="A106" s="1160" t="s">
        <v>476</v>
      </c>
      <c r="B106" s="1160"/>
      <c r="C106" s="1160"/>
      <c r="D106" s="163" t="str">
        <f>IF(('18'!J41+2)/('1'!H28+100)&gt;0.02,"No","Yes")</f>
        <v>Yes</v>
      </c>
      <c r="E106" s="1161" t="str">
        <f>IF(D106="No","Decrease the amount of Title III, Part A funds used for administrative costs on Tab 17 to no more than 2 percent of the total Title III, Part A allocation.","")</f>
        <v/>
      </c>
      <c r="F106" s="1161"/>
      <c r="G106" s="1161"/>
      <c r="H106" s="1161"/>
      <c r="I106" s="1161"/>
      <c r="J106" s="1161"/>
      <c r="K106" s="162">
        <f>IF(D106="Yes",1,0)</f>
        <v>1</v>
      </c>
    </row>
    <row r="107" spans="1:11" ht="24.75" customHeight="1" x14ac:dyDescent="0.2">
      <c r="A107" s="1157" t="s">
        <v>490</v>
      </c>
      <c r="B107" s="1158"/>
      <c r="C107" s="1158"/>
      <c r="D107" s="1158"/>
      <c r="E107" s="1158"/>
      <c r="F107" s="1158"/>
      <c r="G107" s="1158"/>
      <c r="H107" s="1158"/>
      <c r="I107" s="1158"/>
      <c r="J107" s="1159"/>
    </row>
    <row r="108" spans="1:11" ht="15" customHeight="1" x14ac:dyDescent="0.2">
      <c r="A108" s="1160" t="s">
        <v>467</v>
      </c>
      <c r="B108" s="1160"/>
      <c r="C108" s="1160"/>
      <c r="D108" s="163" t="str">
        <f>IF(AND('1'!A6="District of Columbia Public Schools (DCPS)",OR('19'!B12="",'19'!D19="",'19'!B22="",'19'!B25="",'19'!B45="",'19'!D52:I52="",'19'!B55="",'19'!B74="",'19'!D81:I81="",'19'!B84="")),"No","Yes")</f>
        <v>Yes</v>
      </c>
      <c r="E108" s="1161" t="str">
        <f>IF(D108="No","Check all equitable services assurances.","")</f>
        <v/>
      </c>
      <c r="F108" s="1161"/>
      <c r="G108" s="1161"/>
      <c r="H108" s="1161"/>
      <c r="I108" s="1161"/>
      <c r="J108" s="1161"/>
      <c r="K108" s="162">
        <f>IF(D108="Yes",1,0)</f>
        <v>1</v>
      </c>
    </row>
    <row r="109" spans="1:11" ht="15" customHeight="1" x14ac:dyDescent="0.2">
      <c r="A109" s="1160" t="s">
        <v>469</v>
      </c>
      <c r="B109" s="1160"/>
      <c r="C109" s="1160"/>
      <c r="D109" s="163" t="str">
        <f>IF(AND('1'!A6="District of Columbia Public Schools (DCPS)",OR('19'!F29="",'19'!F58="",'19'!F87="")),"No","Yes")</f>
        <v>Yes</v>
      </c>
      <c r="E109" s="1161" t="str">
        <f>IF(D109="No","For each Consolidated Application program, indicate the amount of funds to be reserved for equitable services.","")</f>
        <v/>
      </c>
      <c r="F109" s="1161"/>
      <c r="G109" s="1161"/>
      <c r="H109" s="1161"/>
      <c r="I109" s="1161"/>
      <c r="J109" s="1161"/>
      <c r="K109" s="162">
        <f>IF(D109="Yes",1,0)</f>
        <v>1</v>
      </c>
    </row>
    <row r="110" spans="1:11" ht="15" customHeight="1" x14ac:dyDescent="0.2">
      <c r="A110" s="1160" t="s">
        <v>468</v>
      </c>
      <c r="B110" s="1160"/>
      <c r="C110" s="1160"/>
      <c r="D110" s="163" t="str">
        <f>IF(AND('1'!A6="District of Columbia Public Schools (DCPS)",OR(LEN('19'!B32)&lt;20,LEN('19'!B61)&lt;20,LEN('19'!B90)&lt;20)),"No","Yes")</f>
        <v>Yes</v>
      </c>
      <c r="E110" s="1161" t="str">
        <f>IF(D110="No","For each Consolidated Application program, explain how the amount to be reserved for equitable services was calculated.","")</f>
        <v/>
      </c>
      <c r="F110" s="1161"/>
      <c r="G110" s="1161"/>
      <c r="H110" s="1161"/>
      <c r="I110" s="1161"/>
      <c r="J110" s="1161"/>
      <c r="K110" s="162">
        <f>IF(D110="Yes",1,0)</f>
        <v>1</v>
      </c>
    </row>
    <row r="111" spans="1:11" ht="15" customHeight="1" x14ac:dyDescent="0.2">
      <c r="A111" s="1160" t="s">
        <v>471</v>
      </c>
      <c r="B111" s="1160"/>
      <c r="C111" s="1160"/>
      <c r="D111" s="163" t="str">
        <f>IF(AND('1'!A6="District of Columbia Public Schools (DCPS)",OR('19'!B106="",'19'!B111="",'19'!B116="")),"No","Yes")</f>
        <v>Yes</v>
      </c>
      <c r="E111" s="1161" t="str">
        <f>IF(D111="No","Check all Title I comparability assurances.","")</f>
        <v/>
      </c>
      <c r="F111" s="1161"/>
      <c r="G111" s="1161"/>
      <c r="H111" s="1161"/>
      <c r="I111" s="1161"/>
      <c r="J111" s="1161"/>
      <c r="K111" s="162">
        <f>IF(D111="Yes",1,0)</f>
        <v>1</v>
      </c>
    </row>
    <row r="112" spans="1:11" x14ac:dyDescent="0.2">
      <c r="A112" s="1160" t="s">
        <v>470</v>
      </c>
      <c r="B112" s="1160"/>
      <c r="C112" s="1160"/>
      <c r="D112" s="163" t="str">
        <f>IF(AND('1'!A6="District of Columbia Public Schools (DCPS)",OR('19'!B124="",'19'!B131="")),"No","Yes")</f>
        <v>Yes</v>
      </c>
      <c r="E112" s="1163" t="str">
        <f>IF(D112="No","Check all maintenance of effort assurances.","")</f>
        <v/>
      </c>
      <c r="F112" s="1164"/>
      <c r="G112" s="1164"/>
      <c r="H112" s="1164"/>
      <c r="I112" s="1164"/>
      <c r="J112" s="1165"/>
      <c r="K112" s="162">
        <f>IF(D112="Yes",1,0)</f>
        <v>1</v>
      </c>
    </row>
    <row r="113" spans="1:11" ht="15.75" x14ac:dyDescent="0.2">
      <c r="A113" s="1157" t="s">
        <v>610</v>
      </c>
      <c r="B113" s="1158"/>
      <c r="C113" s="1158"/>
      <c r="D113" s="1158"/>
      <c r="E113" s="1158"/>
      <c r="F113" s="1158"/>
      <c r="G113" s="1158"/>
      <c r="H113" s="1158"/>
      <c r="I113" s="1158"/>
      <c r="J113" s="1159"/>
    </row>
    <row r="114" spans="1:11" x14ac:dyDescent="0.2">
      <c r="A114" s="1160" t="s">
        <v>611</v>
      </c>
      <c r="B114" s="1160"/>
      <c r="C114" s="1160"/>
      <c r="D114" s="163" t="str">
        <f>IF('20'!B9="X","Yes","No")</f>
        <v>Yes</v>
      </c>
      <c r="E114" s="1161" t="str">
        <f>IF(D114="No","Check all applicable assurances.","")</f>
        <v/>
      </c>
      <c r="F114" s="1161"/>
      <c r="G114" s="1161"/>
      <c r="H114" s="1161"/>
      <c r="I114" s="1161"/>
      <c r="J114" s="1161"/>
      <c r="K114" s="162">
        <f>IF(D114="Yes",1,0)</f>
        <v>1</v>
      </c>
    </row>
    <row r="115" spans="1:11" x14ac:dyDescent="0.2">
      <c r="A115" s="1160" t="s">
        <v>612</v>
      </c>
      <c r="B115" s="1160"/>
      <c r="C115" s="1160"/>
      <c r="D115" s="163" t="str">
        <f>IF('20'!B12="X","Yes","No")</f>
        <v>Yes</v>
      </c>
      <c r="E115" s="1161" t="str">
        <f>IF(D115="No","Check all applicable assurances.","")</f>
        <v/>
      </c>
      <c r="F115" s="1161"/>
      <c r="G115" s="1161"/>
      <c r="H115" s="1161"/>
      <c r="I115" s="1161"/>
      <c r="J115" s="1161"/>
      <c r="K115" s="162">
        <f>IF(D115="Yes",1,0)</f>
        <v>1</v>
      </c>
    </row>
    <row r="116" spans="1:11" x14ac:dyDescent="0.2">
      <c r="A116" s="1160" t="s">
        <v>613</v>
      </c>
      <c r="B116" s="1160"/>
      <c r="C116" s="1160"/>
      <c r="D116" s="163" t="str">
        <f>IF('20'!B15="X","Yes","No")</f>
        <v>Yes</v>
      </c>
      <c r="E116" s="1161" t="str">
        <f>IF(D116="No","Check all applicable assurances.","")</f>
        <v/>
      </c>
      <c r="F116" s="1161"/>
      <c r="G116" s="1161"/>
      <c r="H116" s="1161"/>
      <c r="I116" s="1161"/>
      <c r="J116" s="1161"/>
      <c r="K116" s="162">
        <f>IF(D116="Yes",1,0)</f>
        <v>1</v>
      </c>
    </row>
    <row r="117" spans="1:11" x14ac:dyDescent="0.2">
      <c r="A117" s="1160" t="s">
        <v>614</v>
      </c>
      <c r="B117" s="1160"/>
      <c r="C117" s="1160"/>
      <c r="D117" s="163" t="str">
        <f>IF('20'!B15="X","Yes","No")</f>
        <v>Yes</v>
      </c>
      <c r="E117" s="1161" t="str">
        <f>IF(D117="No","Check all applicable assurances.","")</f>
        <v/>
      </c>
      <c r="F117" s="1161"/>
      <c r="G117" s="1161"/>
      <c r="H117" s="1161"/>
      <c r="I117" s="1161"/>
      <c r="J117" s="1161"/>
      <c r="K117" s="162">
        <f>IF(D117="Yes",1,0)</f>
        <v>1</v>
      </c>
    </row>
    <row r="118" spans="1:11" x14ac:dyDescent="0.2">
      <c r="K118" s="162">
        <f ca="1">SUM(K12:K117)</f>
        <v>84</v>
      </c>
    </row>
  </sheetData>
  <sheetProtection formatRows="0" selectLockedCells="1" selectUnlockedCells="1"/>
  <mergeCells count="201">
    <mergeCell ref="E52:J52"/>
    <mergeCell ref="A53:C53"/>
    <mergeCell ref="E53:J53"/>
    <mergeCell ref="A49:C49"/>
    <mergeCell ref="A63:J63"/>
    <mergeCell ref="A66:J66"/>
    <mergeCell ref="A58:C58"/>
    <mergeCell ref="E58:J58"/>
    <mergeCell ref="A59:C59"/>
    <mergeCell ref="E59:J59"/>
    <mergeCell ref="A60:C60"/>
    <mergeCell ref="E60:J60"/>
    <mergeCell ref="A62:C62"/>
    <mergeCell ref="A64:C64"/>
    <mergeCell ref="E64:J64"/>
    <mergeCell ref="A65:C65"/>
    <mergeCell ref="E65:J65"/>
    <mergeCell ref="A17:C17"/>
    <mergeCell ref="E17:J17"/>
    <mergeCell ref="A18:C18"/>
    <mergeCell ref="E18:J18"/>
    <mergeCell ref="E70:J70"/>
    <mergeCell ref="A19:C19"/>
    <mergeCell ref="E19:J19"/>
    <mergeCell ref="A52:C52"/>
    <mergeCell ref="A71:C71"/>
    <mergeCell ref="E71:J71"/>
    <mergeCell ref="A55:C55"/>
    <mergeCell ref="E55:J55"/>
    <mergeCell ref="A56:C56"/>
    <mergeCell ref="A44:J44"/>
    <mergeCell ref="E56:J56"/>
    <mergeCell ref="A57:C57"/>
    <mergeCell ref="E57:J57"/>
    <mergeCell ref="A61:J61"/>
    <mergeCell ref="A20:J20"/>
    <mergeCell ref="A21:C21"/>
    <mergeCell ref="E21:J21"/>
    <mergeCell ref="E62:J62"/>
    <mergeCell ref="A39:J39"/>
    <mergeCell ref="A40:C40"/>
    <mergeCell ref="A12:C12"/>
    <mergeCell ref="E12:J12"/>
    <mergeCell ref="A13:C13"/>
    <mergeCell ref="E13:J13"/>
    <mergeCell ref="A14:C14"/>
    <mergeCell ref="E14:J14"/>
    <mergeCell ref="A15:C15"/>
    <mergeCell ref="E15:J15"/>
    <mergeCell ref="A16:C16"/>
    <mergeCell ref="E16:J16"/>
    <mergeCell ref="A1:J1"/>
    <mergeCell ref="A2:J5"/>
    <mergeCell ref="A6:J6"/>
    <mergeCell ref="A7:J7"/>
    <mergeCell ref="A8:J8"/>
    <mergeCell ref="A9:C10"/>
    <mergeCell ref="D9:D10"/>
    <mergeCell ref="E9:J10"/>
    <mergeCell ref="A11:J11"/>
    <mergeCell ref="A87:J87"/>
    <mergeCell ref="A88:C88"/>
    <mergeCell ref="E88:J88"/>
    <mergeCell ref="A67:C67"/>
    <mergeCell ref="E67:J67"/>
    <mergeCell ref="A68:C68"/>
    <mergeCell ref="E68:J68"/>
    <mergeCell ref="A69:C69"/>
    <mergeCell ref="A80:J80"/>
    <mergeCell ref="A73:J73"/>
    <mergeCell ref="E69:J69"/>
    <mergeCell ref="A70:C70"/>
    <mergeCell ref="A77:J77"/>
    <mergeCell ref="A72:C72"/>
    <mergeCell ref="E72:J72"/>
    <mergeCell ref="A78:C78"/>
    <mergeCell ref="E78:J78"/>
    <mergeCell ref="A79:C79"/>
    <mergeCell ref="E79:J79"/>
    <mergeCell ref="A74:C74"/>
    <mergeCell ref="E74:J74"/>
    <mergeCell ref="A83:C83"/>
    <mergeCell ref="A86:C86"/>
    <mergeCell ref="E86:J86"/>
    <mergeCell ref="A96:C96"/>
    <mergeCell ref="E96:J96"/>
    <mergeCell ref="A92:J92"/>
    <mergeCell ref="A93:C93"/>
    <mergeCell ref="E93:J93"/>
    <mergeCell ref="A89:J89"/>
    <mergeCell ref="A90:C90"/>
    <mergeCell ref="E90:J90"/>
    <mergeCell ref="A91:C91"/>
    <mergeCell ref="E91:J91"/>
    <mergeCell ref="A94:C94"/>
    <mergeCell ref="E94:J94"/>
    <mergeCell ref="A95:C95"/>
    <mergeCell ref="E95:J95"/>
    <mergeCell ref="A22:C22"/>
    <mergeCell ref="E22:J22"/>
    <mergeCell ref="A23:C23"/>
    <mergeCell ref="E23:J23"/>
    <mergeCell ref="A75:J75"/>
    <mergeCell ref="A76:C76"/>
    <mergeCell ref="E76:J76"/>
    <mergeCell ref="E40:J40"/>
    <mergeCell ref="A41:C41"/>
    <mergeCell ref="E41:J41"/>
    <mergeCell ref="A42:C42"/>
    <mergeCell ref="E42:J42"/>
    <mergeCell ref="A43:C43"/>
    <mergeCell ref="E43:J43"/>
    <mergeCell ref="E46:J46"/>
    <mergeCell ref="A47:C47"/>
    <mergeCell ref="E47:J47"/>
    <mergeCell ref="A48:C48"/>
    <mergeCell ref="E48:J48"/>
    <mergeCell ref="A50:C50"/>
    <mergeCell ref="E50:J50"/>
    <mergeCell ref="E49:J49"/>
    <mergeCell ref="A51:J51"/>
    <mergeCell ref="A54:J54"/>
    <mergeCell ref="A45:C45"/>
    <mergeCell ref="E45:J45"/>
    <mergeCell ref="A46:C46"/>
    <mergeCell ref="A107:J107"/>
    <mergeCell ref="A108:C108"/>
    <mergeCell ref="E108:J108"/>
    <mergeCell ref="A81:C81"/>
    <mergeCell ref="E81:J81"/>
    <mergeCell ref="A82:C82"/>
    <mergeCell ref="E82:J82"/>
    <mergeCell ref="A105:C105"/>
    <mergeCell ref="E105:J105"/>
    <mergeCell ref="E83:J83"/>
    <mergeCell ref="A84:C84"/>
    <mergeCell ref="E84:J84"/>
    <mergeCell ref="A85:C85"/>
    <mergeCell ref="E85:J85"/>
    <mergeCell ref="A97:J97"/>
    <mergeCell ref="A98:C98"/>
    <mergeCell ref="E98:J98"/>
    <mergeCell ref="A104:J104"/>
    <mergeCell ref="E100:J100"/>
    <mergeCell ref="A101:C101"/>
    <mergeCell ref="E101:J101"/>
    <mergeCell ref="A111:C111"/>
    <mergeCell ref="E111:J111"/>
    <mergeCell ref="A112:C112"/>
    <mergeCell ref="E112:J112"/>
    <mergeCell ref="A109:C109"/>
    <mergeCell ref="E109:J109"/>
    <mergeCell ref="A110:C110"/>
    <mergeCell ref="E110:J110"/>
    <mergeCell ref="A99:C99"/>
    <mergeCell ref="E99:J99"/>
    <mergeCell ref="A100:C100"/>
    <mergeCell ref="E102:J102"/>
    <mergeCell ref="A103:C103"/>
    <mergeCell ref="E103:J103"/>
    <mergeCell ref="A106:C106"/>
    <mergeCell ref="E106:J106"/>
    <mergeCell ref="A102:C102"/>
    <mergeCell ref="A34:J34"/>
    <mergeCell ref="A35:C35"/>
    <mergeCell ref="E35:J35"/>
    <mergeCell ref="A36:C36"/>
    <mergeCell ref="E36:J36"/>
    <mergeCell ref="A37:C37"/>
    <mergeCell ref="E37:J37"/>
    <mergeCell ref="A38:C38"/>
    <mergeCell ref="E38:J38"/>
    <mergeCell ref="A25:C25"/>
    <mergeCell ref="E25:J25"/>
    <mergeCell ref="A24:C24"/>
    <mergeCell ref="E24:J24"/>
    <mergeCell ref="A26:C26"/>
    <mergeCell ref="E26:J26"/>
    <mergeCell ref="A27:C27"/>
    <mergeCell ref="E27:J27"/>
    <mergeCell ref="A28:C28"/>
    <mergeCell ref="E28:J28"/>
    <mergeCell ref="A29:C29"/>
    <mergeCell ref="E29:J29"/>
    <mergeCell ref="A30:C30"/>
    <mergeCell ref="E30:J30"/>
    <mergeCell ref="A31:C31"/>
    <mergeCell ref="E31:J31"/>
    <mergeCell ref="A32:C32"/>
    <mergeCell ref="E32:J32"/>
    <mergeCell ref="A33:C33"/>
    <mergeCell ref="E33:J33"/>
    <mergeCell ref="A113:J113"/>
    <mergeCell ref="A114:C114"/>
    <mergeCell ref="E114:J114"/>
    <mergeCell ref="A115:C115"/>
    <mergeCell ref="E115:J115"/>
    <mergeCell ref="A116:C116"/>
    <mergeCell ref="E116:J116"/>
    <mergeCell ref="A117:C117"/>
    <mergeCell ref="E117:J117"/>
  </mergeCells>
  <conditionalFormatting sqref="D55:D65 D67:D112 D45:D53 D12:D19 D21:D23 D39:D43">
    <cfRule type="cellIs" dxfId="45" priority="161" stopIfTrue="1" operator="equal">
      <formula>"No"</formula>
    </cfRule>
  </conditionalFormatting>
  <conditionalFormatting sqref="D55:D65 D67:D112 D45:D53 D12:D19 D21:D23 D39:D43">
    <cfRule type="cellIs" dxfId="44" priority="160" stopIfTrue="1" operator="equal">
      <formula>"N/A"</formula>
    </cfRule>
  </conditionalFormatting>
  <conditionalFormatting sqref="D67:D72 D62 D55:D60 D64:D65 D40:D43 D52:D53 D74:D112 D45:D50 D12:D19 D21:D23">
    <cfRule type="cellIs" dxfId="43" priority="159" stopIfTrue="1" operator="equal">
      <formula>"No"</formula>
    </cfRule>
  </conditionalFormatting>
  <conditionalFormatting sqref="A7">
    <cfRule type="containsText" dxfId="42" priority="155" stopIfTrue="1" operator="containsText" text="Successful">
      <formula>NOT(ISERROR(SEARCH("Successful",A7)))</formula>
    </cfRule>
    <cfRule type="containsText" dxfId="41" priority="156" stopIfTrue="1" operator="containsText" text="Failed">
      <formula>NOT(ISERROR(SEARCH("Failed",A7)))</formula>
    </cfRule>
  </conditionalFormatting>
  <conditionalFormatting sqref="D108:D112">
    <cfRule type="cellIs" dxfId="40" priority="116" stopIfTrue="1" operator="equal">
      <formula>"No"</formula>
    </cfRule>
  </conditionalFormatting>
  <conditionalFormatting sqref="D108:D112">
    <cfRule type="cellIs" dxfId="39" priority="115" stopIfTrue="1" operator="equal">
      <formula>"N/A"</formula>
    </cfRule>
  </conditionalFormatting>
  <conditionalFormatting sqref="D108:D112">
    <cfRule type="cellIs" dxfId="38" priority="114" stopIfTrue="1" operator="equal">
      <formula>"No"</formula>
    </cfRule>
  </conditionalFormatting>
  <conditionalFormatting sqref="D108:D112">
    <cfRule type="cellIs" dxfId="37" priority="112" stopIfTrue="1" operator="equal">
      <formula>"""No"""</formula>
    </cfRule>
    <cfRule type="colorScale" priority="113">
      <colorScale>
        <cfvo type="min"/>
        <cfvo type="percentile" val="50"/>
        <cfvo type="max"/>
        <color rgb="FFF8696B"/>
        <color rgb="FFFFEB84"/>
        <color rgb="FF63BE7B"/>
      </colorScale>
    </cfRule>
  </conditionalFormatting>
  <conditionalFormatting sqref="D88">
    <cfRule type="cellIs" dxfId="36" priority="110" stopIfTrue="1" operator="equal">
      <formula>"""No"""</formula>
    </cfRule>
    <cfRule type="colorScale" priority="111">
      <colorScale>
        <cfvo type="min"/>
        <cfvo type="percentile" val="50"/>
        <cfvo type="max"/>
        <color rgb="FFF8696B"/>
        <color rgb="FFFFEB84"/>
        <color rgb="FF63BE7B"/>
      </colorScale>
    </cfRule>
  </conditionalFormatting>
  <conditionalFormatting sqref="D74">
    <cfRule type="cellIs" dxfId="35" priority="107" stopIfTrue="1" operator="equal">
      <formula>"""No"""</formula>
    </cfRule>
    <cfRule type="colorScale" priority="108">
      <colorScale>
        <cfvo type="min"/>
        <cfvo type="percentile" val="50"/>
        <cfvo type="max"/>
        <color rgb="FFF8696B"/>
        <color rgb="FFFFEB84"/>
        <color rgb="FF63BE7B"/>
      </colorScale>
    </cfRule>
  </conditionalFormatting>
  <conditionalFormatting sqref="D62">
    <cfRule type="cellIs" dxfId="34" priority="102" stopIfTrue="1" operator="equal">
      <formula>"""No"""</formula>
    </cfRule>
    <cfRule type="colorScale" priority="103">
      <colorScale>
        <cfvo type="min"/>
        <cfvo type="percentile" val="50"/>
        <cfvo type="max"/>
        <color rgb="FFF8696B"/>
        <color rgb="FFFFEB84"/>
        <color rgb="FF63BE7B"/>
      </colorScale>
    </cfRule>
  </conditionalFormatting>
  <conditionalFormatting sqref="D98:D103 D92:D96">
    <cfRule type="cellIs" dxfId="33" priority="342" stopIfTrue="1" operator="equal">
      <formula>"""No"""</formula>
    </cfRule>
    <cfRule type="colorScale" priority="343">
      <colorScale>
        <cfvo type="min"/>
        <cfvo type="percentile" val="50"/>
        <cfvo type="max"/>
        <color rgb="FFF8696B"/>
        <color rgb="FFFFEB84"/>
        <color rgb="FF63BE7B"/>
      </colorScale>
    </cfRule>
  </conditionalFormatting>
  <conditionalFormatting sqref="D81:D86">
    <cfRule type="cellIs" dxfId="32" priority="98" stopIfTrue="1" operator="equal">
      <formula>"""No"""</formula>
    </cfRule>
    <cfRule type="colorScale" priority="99">
      <colorScale>
        <cfvo type="min"/>
        <cfvo type="percentile" val="50"/>
        <cfvo type="max"/>
        <color rgb="FFF8696B"/>
        <color rgb="FFFFEB84"/>
        <color rgb="FF63BE7B"/>
      </colorScale>
    </cfRule>
  </conditionalFormatting>
  <conditionalFormatting sqref="D67:D72">
    <cfRule type="cellIs" dxfId="31" priority="91" stopIfTrue="1" operator="equal">
      <formula>"""No"""</formula>
    </cfRule>
    <cfRule type="colorScale" priority="92">
      <colorScale>
        <cfvo type="min"/>
        <cfvo type="percentile" val="50"/>
        <cfvo type="max"/>
        <color rgb="FFF8696B"/>
        <color rgb="FFFFEB84"/>
        <color rgb="FF63BE7B"/>
      </colorScale>
    </cfRule>
  </conditionalFormatting>
  <conditionalFormatting sqref="D55:D60">
    <cfRule type="cellIs" dxfId="30" priority="82" stopIfTrue="1" operator="equal">
      <formula>"""No"""</formula>
    </cfRule>
    <cfRule type="colorScale" priority="83">
      <colorScale>
        <cfvo type="min"/>
        <cfvo type="percentile" val="50"/>
        <cfvo type="max"/>
        <color rgb="FFF8696B"/>
        <color rgb="FFFFEB84"/>
        <color rgb="FF63BE7B"/>
      </colorScale>
    </cfRule>
  </conditionalFormatting>
  <conditionalFormatting sqref="D92:D112">
    <cfRule type="cellIs" dxfId="29" priority="475" stopIfTrue="1" operator="equal">
      <formula>"""No"""</formula>
    </cfRule>
    <cfRule type="colorScale" priority="476">
      <colorScale>
        <cfvo type="min"/>
        <cfvo type="percentile" val="50"/>
        <cfvo type="max"/>
        <color rgb="FFF8696B"/>
        <color rgb="FFFFEB84"/>
        <color rgb="FF63BE7B"/>
      </colorScale>
    </cfRule>
  </conditionalFormatting>
  <conditionalFormatting sqref="D78:D79">
    <cfRule type="cellIs" dxfId="28" priority="80" stopIfTrue="1" operator="equal">
      <formula>"""No"""</formula>
    </cfRule>
    <cfRule type="colorScale" priority="81">
      <colorScale>
        <cfvo type="min"/>
        <cfvo type="percentile" val="50"/>
        <cfvo type="max"/>
        <color rgb="FFF8696B"/>
        <color rgb="FFFFEB84"/>
        <color rgb="FF63BE7B"/>
      </colorScale>
    </cfRule>
  </conditionalFormatting>
  <conditionalFormatting sqref="D77:D79">
    <cfRule type="cellIs" dxfId="27" priority="510" stopIfTrue="1" operator="equal">
      <formula>"""No"""</formula>
    </cfRule>
    <cfRule type="colorScale" priority="511">
      <colorScale>
        <cfvo type="min"/>
        <cfvo type="percentile" val="50"/>
        <cfvo type="max"/>
        <color rgb="FFF8696B"/>
        <color rgb="FFFFEB84"/>
        <color rgb="FF63BE7B"/>
      </colorScale>
    </cfRule>
  </conditionalFormatting>
  <conditionalFormatting sqref="D64:D65">
    <cfRule type="cellIs" dxfId="26" priority="75" stopIfTrue="1" operator="equal">
      <formula>"""No"""</formula>
    </cfRule>
    <cfRule type="colorScale" priority="76">
      <colorScale>
        <cfvo type="min"/>
        <cfvo type="percentile" val="50"/>
        <cfvo type="max"/>
        <color rgb="FFF8696B"/>
        <color rgb="FFFFEB84"/>
        <color rgb="FF63BE7B"/>
      </colorScale>
    </cfRule>
  </conditionalFormatting>
  <conditionalFormatting sqref="D61:D65 D12:D19 D45:D53 D21:D23 D39:D43">
    <cfRule type="cellIs" dxfId="25" priority="541" stopIfTrue="1" operator="equal">
      <formula>"""No"""</formula>
    </cfRule>
    <cfRule type="colorScale" priority="542">
      <colorScale>
        <cfvo type="min"/>
        <cfvo type="percentile" val="50"/>
        <cfvo type="max"/>
        <color rgb="FFF8696B"/>
        <color rgb="FFFFEB84"/>
        <color rgb="FF63BE7B"/>
      </colorScale>
    </cfRule>
  </conditionalFormatting>
  <conditionalFormatting sqref="D52:D53">
    <cfRule type="cellIs" dxfId="24" priority="66" stopIfTrue="1" operator="equal">
      <formula>"""No"""</formula>
    </cfRule>
    <cfRule type="colorScale" priority="67">
      <colorScale>
        <cfvo type="min"/>
        <cfvo type="percentile" val="50"/>
        <cfvo type="max"/>
        <color rgb="FFF8696B"/>
        <color rgb="FFFFEB84"/>
        <color rgb="FF63BE7B"/>
      </colorScale>
    </cfRule>
  </conditionalFormatting>
  <conditionalFormatting sqref="D76">
    <cfRule type="cellIs" dxfId="23" priority="568" stopIfTrue="1" operator="equal">
      <formula>"""No"""</formula>
    </cfRule>
    <cfRule type="colorScale" priority="569">
      <colorScale>
        <cfvo type="min"/>
        <cfvo type="percentile" val="50"/>
        <cfvo type="max"/>
        <color rgb="FFF8696B"/>
        <color rgb="FFFFEB84"/>
        <color rgb="FF63BE7B"/>
      </colorScale>
    </cfRule>
  </conditionalFormatting>
  <conditionalFormatting sqref="D90:D91">
    <cfRule type="cellIs" dxfId="22" priority="611" stopIfTrue="1" operator="equal">
      <formula>"""No"""</formula>
    </cfRule>
    <cfRule type="colorScale" priority="612">
      <colorScale>
        <cfvo type="min"/>
        <cfvo type="percentile" val="50"/>
        <cfvo type="max"/>
        <color rgb="FFF8696B"/>
        <color rgb="FFFFEB84"/>
        <color rgb="FF63BE7B"/>
      </colorScale>
    </cfRule>
  </conditionalFormatting>
  <conditionalFormatting sqref="D73:D91">
    <cfRule type="cellIs" dxfId="21" priority="645" stopIfTrue="1" operator="equal">
      <formula>"""No"""</formula>
    </cfRule>
    <cfRule type="colorScale" priority="646">
      <colorScale>
        <cfvo type="min"/>
        <cfvo type="percentile" val="50"/>
        <cfvo type="max"/>
        <color rgb="FFF8696B"/>
        <color rgb="FFFFEB84"/>
        <color rgb="FF63BE7B"/>
      </colorScale>
    </cfRule>
  </conditionalFormatting>
  <conditionalFormatting sqref="D75:D91">
    <cfRule type="cellIs" dxfId="20" priority="647" stopIfTrue="1" operator="equal">
      <formula>"""No"""</formula>
    </cfRule>
    <cfRule type="colorScale" priority="648">
      <colorScale>
        <cfvo type="min"/>
        <cfvo type="percentile" val="50"/>
        <cfvo type="max"/>
        <color rgb="FFF8696B"/>
        <color rgb="FFFFEB84"/>
        <color rgb="FF63BE7B"/>
      </colorScale>
    </cfRule>
  </conditionalFormatting>
  <conditionalFormatting sqref="D35:D38">
    <cfRule type="cellIs" dxfId="19" priority="61" stopIfTrue="1" operator="equal">
      <formula>"No"</formula>
    </cfRule>
  </conditionalFormatting>
  <conditionalFormatting sqref="D35:D38">
    <cfRule type="cellIs" dxfId="18" priority="63" stopIfTrue="1" operator="equal">
      <formula>"No"</formula>
    </cfRule>
  </conditionalFormatting>
  <conditionalFormatting sqref="D35:D38">
    <cfRule type="cellIs" dxfId="17" priority="62" stopIfTrue="1" operator="equal">
      <formula>"N/A"</formula>
    </cfRule>
  </conditionalFormatting>
  <conditionalFormatting sqref="D35:D38">
    <cfRule type="cellIs" dxfId="16" priority="64" stopIfTrue="1" operator="equal">
      <formula>"""No"""</formula>
    </cfRule>
    <cfRule type="colorScale" priority="65">
      <colorScale>
        <cfvo type="min"/>
        <cfvo type="percentile" val="50"/>
        <cfvo type="max"/>
        <color rgb="FFF8696B"/>
        <color rgb="FFFFEB84"/>
        <color rgb="FF63BE7B"/>
      </colorScale>
    </cfRule>
  </conditionalFormatting>
  <conditionalFormatting sqref="D25:D33">
    <cfRule type="cellIs" dxfId="15" priority="58" stopIfTrue="1" operator="equal">
      <formula>"No"</formula>
    </cfRule>
  </conditionalFormatting>
  <conditionalFormatting sqref="D25:D33">
    <cfRule type="cellIs" dxfId="14" priority="57" stopIfTrue="1" operator="equal">
      <formula>"N/A"</formula>
    </cfRule>
  </conditionalFormatting>
  <conditionalFormatting sqref="D25:D33">
    <cfRule type="cellIs" dxfId="13" priority="56" stopIfTrue="1" operator="equal">
      <formula>"No"</formula>
    </cfRule>
  </conditionalFormatting>
  <conditionalFormatting sqref="D25:D33">
    <cfRule type="cellIs" dxfId="12" priority="59" stopIfTrue="1" operator="equal">
      <formula>"""No"""</formula>
    </cfRule>
    <cfRule type="colorScale" priority="60">
      <colorScale>
        <cfvo type="min"/>
        <cfvo type="percentile" val="50"/>
        <cfvo type="max"/>
        <color rgb="FFF8696B"/>
        <color rgb="FFFFEB84"/>
        <color rgb="FF63BE7B"/>
      </colorScale>
    </cfRule>
  </conditionalFormatting>
  <conditionalFormatting sqref="D24">
    <cfRule type="cellIs" dxfId="11" priority="53" stopIfTrue="1" operator="equal">
      <formula>"No"</formula>
    </cfRule>
  </conditionalFormatting>
  <conditionalFormatting sqref="D24">
    <cfRule type="cellIs" dxfId="10" priority="52" stopIfTrue="1" operator="equal">
      <formula>"N/A"</formula>
    </cfRule>
  </conditionalFormatting>
  <conditionalFormatting sqref="D24">
    <cfRule type="cellIs" dxfId="9" priority="51" stopIfTrue="1" operator="equal">
      <formula>"No"</formula>
    </cfRule>
  </conditionalFormatting>
  <conditionalFormatting sqref="D24">
    <cfRule type="cellIs" dxfId="8" priority="54" stopIfTrue="1" operator="equal">
      <formula>"""No"""</formula>
    </cfRule>
    <cfRule type="colorScale" priority="55">
      <colorScale>
        <cfvo type="min"/>
        <cfvo type="percentile" val="50"/>
        <cfvo type="max"/>
        <color rgb="FFF8696B"/>
        <color rgb="FFFFEB84"/>
        <color rgb="FF63BE7B"/>
      </colorScale>
    </cfRule>
  </conditionalFormatting>
  <conditionalFormatting sqref="D113:D117">
    <cfRule type="cellIs" dxfId="7" priority="8" stopIfTrue="1" operator="equal">
      <formula>"No"</formula>
    </cfRule>
  </conditionalFormatting>
  <conditionalFormatting sqref="D113:D117">
    <cfRule type="cellIs" dxfId="6" priority="7" stopIfTrue="1" operator="equal">
      <formula>"N/A"</formula>
    </cfRule>
  </conditionalFormatting>
  <conditionalFormatting sqref="D113:D117">
    <cfRule type="cellIs" dxfId="5" priority="6" stopIfTrue="1" operator="equal">
      <formula>"No"</formula>
    </cfRule>
  </conditionalFormatting>
  <conditionalFormatting sqref="D114:D117">
    <cfRule type="cellIs" dxfId="4" priority="5" stopIfTrue="1" operator="equal">
      <formula>"No"</formula>
    </cfRule>
  </conditionalFormatting>
  <conditionalFormatting sqref="D114:D117">
    <cfRule type="cellIs" dxfId="3" priority="4" stopIfTrue="1" operator="equal">
      <formula>"N/A"</formula>
    </cfRule>
  </conditionalFormatting>
  <conditionalFormatting sqref="D114:D117">
    <cfRule type="cellIs" dxfId="2" priority="3" stopIfTrue="1" operator="equal">
      <formula>"No"</formula>
    </cfRule>
  </conditionalFormatting>
  <conditionalFormatting sqref="D114:D117">
    <cfRule type="cellIs" dxfId="1" priority="649" stopIfTrue="1" operator="equal">
      <formula>"""No"""</formula>
    </cfRule>
    <cfRule type="colorScale" priority="650">
      <colorScale>
        <cfvo type="min"/>
        <cfvo type="percentile" val="50"/>
        <cfvo type="max"/>
        <color rgb="FFF8696B"/>
        <color rgb="FFFFEB84"/>
        <color rgb="FF63BE7B"/>
      </colorScale>
    </cfRule>
  </conditionalFormatting>
  <conditionalFormatting sqref="D113:D117">
    <cfRule type="cellIs" dxfId="0" priority="651" stopIfTrue="1" operator="equal">
      <formula>"""No"""</formula>
    </cfRule>
    <cfRule type="colorScale" priority="652">
      <colorScale>
        <cfvo type="min"/>
        <cfvo type="percentile" val="50"/>
        <cfvo type="max"/>
        <color rgb="FFF8696B"/>
        <color rgb="FFFFEB84"/>
        <color rgb="FF63BE7B"/>
      </colorScale>
    </cfRule>
  </conditionalFormatting>
  <pageMargins left="0.75" right="0.75" top="1" bottom="1" header="0.5" footer="0.5"/>
  <pageSetup scale="81" fitToHeight="0" orientation="landscape" r:id="rId1"/>
  <headerFooter alignWithMargins="0">
    <oddHeader>&amp;L&amp;A Tab: Page &amp;P of &amp;N</oddHeader>
  </headerFooter>
  <rowBreaks count="2" manualBreakCount="2">
    <brk id="19" max="16383" man="1"/>
    <brk id="6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Y381"/>
  <sheetViews>
    <sheetView topLeftCell="A205" zoomScale="77" zoomScaleNormal="77" workbookViewId="0">
      <selection activeCell="A92" sqref="A92:J111"/>
    </sheetView>
  </sheetViews>
  <sheetFormatPr defaultColWidth="9.140625" defaultRowHeight="12.75" x14ac:dyDescent="0.2"/>
  <cols>
    <col min="1" max="10" width="15.7109375" style="1" customWidth="1"/>
    <col min="11" max="12" width="9.140625" style="1" hidden="1" customWidth="1"/>
    <col min="13" max="13" width="0" style="1" hidden="1" customWidth="1"/>
    <col min="14" max="16" width="9.140625" style="1"/>
    <col min="17" max="17" width="14.5703125" style="1" bestFit="1" customWidth="1"/>
    <col min="18" max="24" width="9.140625" style="1"/>
    <col min="25" max="25" width="12" style="1" bestFit="1" customWidth="1"/>
    <col min="26" max="16384" width="9.140625" style="1"/>
  </cols>
  <sheetData>
    <row r="1" spans="1:10" ht="13.5" thickTop="1" x14ac:dyDescent="0.2">
      <c r="A1" s="546" t="s">
        <v>557</v>
      </c>
      <c r="B1" s="547"/>
      <c r="C1" s="547"/>
      <c r="D1" s="547"/>
      <c r="E1" s="547"/>
      <c r="F1" s="547"/>
      <c r="G1" s="547"/>
      <c r="H1" s="547"/>
      <c r="I1" s="547"/>
      <c r="J1" s="548"/>
    </row>
    <row r="2" spans="1:10" x14ac:dyDescent="0.2">
      <c r="A2" s="549"/>
      <c r="B2" s="550"/>
      <c r="C2" s="550"/>
      <c r="D2" s="550"/>
      <c r="E2" s="550"/>
      <c r="F2" s="550"/>
      <c r="G2" s="550"/>
      <c r="H2" s="550"/>
      <c r="I2" s="550"/>
      <c r="J2" s="551"/>
    </row>
    <row r="3" spans="1:10" ht="31.9" customHeight="1" x14ac:dyDescent="0.2">
      <c r="A3" s="552" t="s">
        <v>589</v>
      </c>
      <c r="B3" s="553"/>
      <c r="C3" s="553"/>
      <c r="D3" s="553"/>
      <c r="E3" s="553"/>
      <c r="F3" s="553"/>
      <c r="G3" s="553"/>
      <c r="H3" s="553"/>
      <c r="I3" s="553"/>
      <c r="J3" s="554"/>
    </row>
    <row r="4" spans="1:10" x14ac:dyDescent="0.2">
      <c r="A4" s="555"/>
      <c r="B4" s="556"/>
      <c r="C4" s="556"/>
      <c r="D4" s="556"/>
      <c r="E4" s="556"/>
      <c r="F4" s="556"/>
      <c r="G4" s="556"/>
      <c r="H4" s="556"/>
      <c r="I4" s="556"/>
      <c r="J4" s="557"/>
    </row>
    <row r="5" spans="1:10" x14ac:dyDescent="0.2">
      <c r="A5" s="558"/>
      <c r="B5" s="559"/>
      <c r="C5" s="559"/>
      <c r="D5" s="559"/>
      <c r="E5" s="559"/>
      <c r="F5" s="559"/>
      <c r="G5" s="559"/>
      <c r="H5" s="559"/>
      <c r="I5" s="559"/>
      <c r="J5" s="560"/>
    </row>
    <row r="6" spans="1:10" s="61" customFormat="1" ht="13.5" thickBot="1" x14ac:dyDescent="0.25">
      <c r="A6" s="175"/>
      <c r="B6" s="176"/>
      <c r="C6" s="177"/>
      <c r="D6" s="173"/>
      <c r="E6" s="173"/>
      <c r="F6" s="173"/>
      <c r="G6" s="173"/>
      <c r="H6" s="178"/>
      <c r="I6" s="177"/>
      <c r="J6" s="174"/>
    </row>
    <row r="7" spans="1:10" s="61" customFormat="1" ht="12.75" customHeight="1" thickTop="1" x14ac:dyDescent="0.2">
      <c r="A7" s="479" t="s">
        <v>544</v>
      </c>
      <c r="B7" s="480"/>
      <c r="C7" s="480"/>
      <c r="D7" s="480"/>
      <c r="E7" s="481"/>
      <c r="F7" s="482" t="s">
        <v>145</v>
      </c>
      <c r="G7" s="482"/>
      <c r="H7" s="482"/>
      <c r="I7" s="482"/>
      <c r="J7" s="483"/>
    </row>
    <row r="8" spans="1:10" s="61" customFormat="1" ht="13.5" thickBot="1" x14ac:dyDescent="0.25">
      <c r="A8" s="444" t="s">
        <v>519</v>
      </c>
      <c r="B8" s="445"/>
      <c r="C8" s="445"/>
      <c r="D8" s="445"/>
      <c r="E8" s="445"/>
      <c r="F8" s="446">
        <f>IF(F7="Yes",ROUND('1'!$B$28*0.2,2),0)</f>
        <v>5401122.0599999996</v>
      </c>
      <c r="G8" s="446"/>
      <c r="H8" s="446"/>
      <c r="I8" s="446"/>
      <c r="J8" s="447"/>
    </row>
    <row r="9" spans="1:10" ht="13.5" thickTop="1" x14ac:dyDescent="0.2">
      <c r="A9" s="573" t="s">
        <v>587</v>
      </c>
      <c r="B9" s="574"/>
      <c r="C9" s="574"/>
      <c r="D9" s="574"/>
      <c r="E9" s="574"/>
      <c r="F9" s="574"/>
      <c r="G9" s="574"/>
      <c r="H9" s="574"/>
      <c r="I9" s="574"/>
      <c r="J9" s="575"/>
    </row>
    <row r="10" spans="1:10" x14ac:dyDescent="0.2">
      <c r="A10" s="576"/>
      <c r="B10" s="577"/>
      <c r="C10" s="577"/>
      <c r="D10" s="577"/>
      <c r="E10" s="577"/>
      <c r="F10" s="577"/>
      <c r="G10" s="577"/>
      <c r="H10" s="577"/>
      <c r="I10" s="577"/>
      <c r="J10" s="578"/>
    </row>
    <row r="11" spans="1:10" x14ac:dyDescent="0.2">
      <c r="A11" s="579" t="s">
        <v>558</v>
      </c>
      <c r="B11" s="580"/>
      <c r="C11" s="580"/>
      <c r="D11" s="580"/>
      <c r="E11" s="580"/>
      <c r="F11" s="580"/>
      <c r="G11" s="580"/>
      <c r="H11" s="580"/>
      <c r="I11" s="580"/>
      <c r="J11" s="581"/>
    </row>
    <row r="12" spans="1:10" x14ac:dyDescent="0.2">
      <c r="A12" s="582"/>
      <c r="B12" s="583"/>
      <c r="C12" s="583"/>
      <c r="D12" s="583"/>
      <c r="E12" s="583"/>
      <c r="F12" s="583"/>
      <c r="G12" s="583"/>
      <c r="H12" s="583"/>
      <c r="I12" s="583"/>
      <c r="J12" s="584"/>
    </row>
    <row r="13" spans="1:10" ht="30.6" customHeight="1" x14ac:dyDescent="0.2">
      <c r="A13" s="585"/>
      <c r="B13" s="586"/>
      <c r="C13" s="586"/>
      <c r="D13" s="586"/>
      <c r="E13" s="586"/>
      <c r="F13" s="586"/>
      <c r="G13" s="586"/>
      <c r="H13" s="586"/>
      <c r="I13" s="586"/>
      <c r="J13" s="587"/>
    </row>
    <row r="14" spans="1:10" x14ac:dyDescent="0.2">
      <c r="A14" s="486" t="s">
        <v>518</v>
      </c>
      <c r="B14" s="487"/>
      <c r="C14" s="487"/>
      <c r="D14" s="487"/>
      <c r="E14" s="487"/>
      <c r="F14" s="487"/>
      <c r="G14" s="487"/>
      <c r="H14" s="487"/>
      <c r="I14" s="487"/>
      <c r="J14" s="488"/>
    </row>
    <row r="15" spans="1:10" x14ac:dyDescent="0.2">
      <c r="A15" s="463"/>
      <c r="B15" s="464"/>
      <c r="C15" s="464"/>
      <c r="D15" s="464"/>
      <c r="E15" s="464"/>
      <c r="F15" s="464"/>
      <c r="G15" s="464"/>
      <c r="H15" s="464"/>
      <c r="I15" s="464"/>
      <c r="J15" s="465"/>
    </row>
    <row r="16" spans="1:10" ht="12.75" customHeight="1" x14ac:dyDescent="0.2">
      <c r="A16" s="448" t="s">
        <v>517</v>
      </c>
      <c r="B16" s="449"/>
      <c r="C16" s="449"/>
      <c r="D16" s="449"/>
      <c r="E16" s="449"/>
      <c r="F16" s="449"/>
      <c r="G16" s="449"/>
      <c r="H16" s="449"/>
      <c r="I16" s="449"/>
      <c r="J16" s="450"/>
    </row>
    <row r="17" spans="1:17" ht="12.75" customHeight="1" x14ac:dyDescent="0.2">
      <c r="A17" s="451"/>
      <c r="B17" s="452"/>
      <c r="C17" s="452"/>
      <c r="D17" s="452"/>
      <c r="E17" s="452"/>
      <c r="F17" s="452"/>
      <c r="G17" s="452"/>
      <c r="H17" s="452"/>
      <c r="I17" s="452"/>
      <c r="J17" s="453"/>
    </row>
    <row r="18" spans="1:17" ht="12.75" customHeight="1" x14ac:dyDescent="0.2">
      <c r="A18" s="451"/>
      <c r="B18" s="452"/>
      <c r="C18" s="452"/>
      <c r="D18" s="452"/>
      <c r="E18" s="452"/>
      <c r="F18" s="452"/>
      <c r="G18" s="452"/>
      <c r="H18" s="452"/>
      <c r="I18" s="452"/>
      <c r="J18" s="453"/>
    </row>
    <row r="19" spans="1:17" ht="81.599999999999994" customHeight="1" x14ac:dyDescent="0.2">
      <c r="A19" s="454"/>
      <c r="B19" s="455"/>
      <c r="C19" s="455"/>
      <c r="D19" s="455"/>
      <c r="E19" s="455"/>
      <c r="F19" s="455"/>
      <c r="G19" s="455"/>
      <c r="H19" s="455"/>
      <c r="I19" s="455"/>
      <c r="J19" s="456"/>
    </row>
    <row r="20" spans="1:17" s="61" customFormat="1" ht="12.75" customHeight="1" x14ac:dyDescent="0.2">
      <c r="A20" s="475" t="s">
        <v>520</v>
      </c>
      <c r="B20" s="476"/>
      <c r="C20" s="476"/>
      <c r="D20" s="476"/>
      <c r="E20" s="476"/>
      <c r="F20" s="484"/>
      <c r="G20" s="484"/>
      <c r="H20" s="484"/>
      <c r="I20" s="484"/>
      <c r="J20" s="485"/>
    </row>
    <row r="21" spans="1:17" ht="6" customHeight="1" x14ac:dyDescent="0.2">
      <c r="A21" s="448" t="s">
        <v>548</v>
      </c>
      <c r="B21" s="449"/>
      <c r="C21" s="449"/>
      <c r="D21" s="449"/>
      <c r="E21" s="449"/>
      <c r="F21" s="449"/>
      <c r="G21" s="449"/>
      <c r="H21" s="449"/>
      <c r="I21" s="449"/>
      <c r="J21" s="450"/>
    </row>
    <row r="22" spans="1:17" ht="9" customHeight="1" x14ac:dyDescent="0.2">
      <c r="A22" s="451"/>
      <c r="B22" s="452"/>
      <c r="C22" s="452"/>
      <c r="D22" s="452"/>
      <c r="E22" s="452"/>
      <c r="F22" s="452"/>
      <c r="G22" s="452"/>
      <c r="H22" s="452"/>
      <c r="I22" s="452"/>
      <c r="J22" s="453"/>
    </row>
    <row r="23" spans="1:17" ht="12.75" customHeight="1" x14ac:dyDescent="0.2">
      <c r="A23" s="451"/>
      <c r="B23" s="452"/>
      <c r="C23" s="452"/>
      <c r="D23" s="452"/>
      <c r="E23" s="452"/>
      <c r="F23" s="452"/>
      <c r="G23" s="452"/>
      <c r="H23" s="452"/>
      <c r="I23" s="452"/>
      <c r="J23" s="453"/>
    </row>
    <row r="24" spans="1:17" ht="12.75" customHeight="1" x14ac:dyDescent="0.2">
      <c r="A24" s="451"/>
      <c r="B24" s="452"/>
      <c r="C24" s="452"/>
      <c r="D24" s="452"/>
      <c r="E24" s="452"/>
      <c r="F24" s="452"/>
      <c r="G24" s="452"/>
      <c r="H24" s="452"/>
      <c r="I24" s="452"/>
      <c r="J24" s="453"/>
    </row>
    <row r="25" spans="1:17" ht="10.15" customHeight="1" x14ac:dyDescent="0.2">
      <c r="A25" s="454"/>
      <c r="B25" s="455"/>
      <c r="C25" s="455"/>
      <c r="D25" s="455"/>
      <c r="E25" s="455"/>
      <c r="F25" s="455"/>
      <c r="G25" s="455"/>
      <c r="H25" s="455"/>
      <c r="I25" s="455"/>
      <c r="J25" s="456"/>
    </row>
    <row r="26" spans="1:17" s="61" customFormat="1" ht="12.75" customHeight="1" x14ac:dyDescent="0.2">
      <c r="A26" s="457" t="s">
        <v>740</v>
      </c>
      <c r="B26" s="458"/>
      <c r="C26" s="458"/>
      <c r="D26" s="458"/>
      <c r="E26" s="458"/>
      <c r="F26" s="458"/>
      <c r="G26" s="458"/>
      <c r="H26" s="458"/>
      <c r="I26" s="458"/>
      <c r="J26" s="459"/>
    </row>
    <row r="27" spans="1:17" s="61" customFormat="1" x14ac:dyDescent="0.2">
      <c r="A27" s="457"/>
      <c r="B27" s="458"/>
      <c r="C27" s="458"/>
      <c r="D27" s="458"/>
      <c r="E27" s="458"/>
      <c r="F27" s="458"/>
      <c r="G27" s="458"/>
      <c r="H27" s="458"/>
      <c r="I27" s="458"/>
      <c r="J27" s="459"/>
      <c r="Q27" s="220"/>
    </row>
    <row r="28" spans="1:17" s="61" customFormat="1" x14ac:dyDescent="0.2">
      <c r="A28" s="457"/>
      <c r="B28" s="458"/>
      <c r="C28" s="458"/>
      <c r="D28" s="458"/>
      <c r="E28" s="458"/>
      <c r="F28" s="458"/>
      <c r="G28" s="458"/>
      <c r="H28" s="458"/>
      <c r="I28" s="458"/>
      <c r="J28" s="459"/>
    </row>
    <row r="29" spans="1:17" s="61" customFormat="1" x14ac:dyDescent="0.2">
      <c r="A29" s="457"/>
      <c r="B29" s="458"/>
      <c r="C29" s="458"/>
      <c r="D29" s="458"/>
      <c r="E29" s="458"/>
      <c r="F29" s="458"/>
      <c r="G29" s="458"/>
      <c r="H29" s="458"/>
      <c r="I29" s="458"/>
      <c r="J29" s="459"/>
    </row>
    <row r="30" spans="1:17" s="61" customFormat="1" x14ac:dyDescent="0.2">
      <c r="A30" s="457"/>
      <c r="B30" s="458"/>
      <c r="C30" s="458"/>
      <c r="D30" s="458"/>
      <c r="E30" s="458"/>
      <c r="F30" s="458"/>
      <c r="G30" s="458"/>
      <c r="H30" s="458"/>
      <c r="I30" s="458"/>
      <c r="J30" s="459"/>
    </row>
    <row r="31" spans="1:17" s="61" customFormat="1" x14ac:dyDescent="0.2">
      <c r="A31" s="457"/>
      <c r="B31" s="458"/>
      <c r="C31" s="458"/>
      <c r="D31" s="458"/>
      <c r="E31" s="458"/>
      <c r="F31" s="458"/>
      <c r="G31" s="458"/>
      <c r="H31" s="458"/>
      <c r="I31" s="458"/>
      <c r="J31" s="459"/>
    </row>
    <row r="32" spans="1:17" s="61" customFormat="1" x14ac:dyDescent="0.2">
      <c r="A32" s="457"/>
      <c r="B32" s="458"/>
      <c r="C32" s="458"/>
      <c r="D32" s="458"/>
      <c r="E32" s="458"/>
      <c r="F32" s="458"/>
      <c r="G32" s="458"/>
      <c r="H32" s="458"/>
      <c r="I32" s="458"/>
      <c r="J32" s="459"/>
    </row>
    <row r="33" spans="1:10" s="61" customFormat="1" x14ac:dyDescent="0.2">
      <c r="A33" s="457"/>
      <c r="B33" s="458"/>
      <c r="C33" s="458"/>
      <c r="D33" s="458"/>
      <c r="E33" s="458"/>
      <c r="F33" s="458"/>
      <c r="G33" s="458"/>
      <c r="H33" s="458"/>
      <c r="I33" s="458"/>
      <c r="J33" s="459"/>
    </row>
    <row r="34" spans="1:10" s="61" customFormat="1" x14ac:dyDescent="0.2">
      <c r="A34" s="457"/>
      <c r="B34" s="458"/>
      <c r="C34" s="458"/>
      <c r="D34" s="458"/>
      <c r="E34" s="458"/>
      <c r="F34" s="458"/>
      <c r="G34" s="458"/>
      <c r="H34" s="458"/>
      <c r="I34" s="458"/>
      <c r="J34" s="459"/>
    </row>
    <row r="35" spans="1:10" s="61" customFormat="1" x14ac:dyDescent="0.2">
      <c r="A35" s="457"/>
      <c r="B35" s="458"/>
      <c r="C35" s="458"/>
      <c r="D35" s="458"/>
      <c r="E35" s="458"/>
      <c r="F35" s="458"/>
      <c r="G35" s="458"/>
      <c r="H35" s="458"/>
      <c r="I35" s="458"/>
      <c r="J35" s="459"/>
    </row>
    <row r="36" spans="1:10" s="61" customFormat="1" x14ac:dyDescent="0.2">
      <c r="A36" s="457"/>
      <c r="B36" s="458"/>
      <c r="C36" s="458"/>
      <c r="D36" s="458"/>
      <c r="E36" s="458"/>
      <c r="F36" s="458"/>
      <c r="G36" s="458"/>
      <c r="H36" s="458"/>
      <c r="I36" s="458"/>
      <c r="J36" s="459"/>
    </row>
    <row r="37" spans="1:10" s="61" customFormat="1" x14ac:dyDescent="0.2">
      <c r="A37" s="457"/>
      <c r="B37" s="458"/>
      <c r="C37" s="458"/>
      <c r="D37" s="458"/>
      <c r="E37" s="458"/>
      <c r="F37" s="458"/>
      <c r="G37" s="458"/>
      <c r="H37" s="458"/>
      <c r="I37" s="458"/>
      <c r="J37" s="459"/>
    </row>
    <row r="38" spans="1:10" s="61" customFormat="1" x14ac:dyDescent="0.2">
      <c r="A38" s="457"/>
      <c r="B38" s="458"/>
      <c r="C38" s="458"/>
      <c r="D38" s="458"/>
      <c r="E38" s="458"/>
      <c r="F38" s="458"/>
      <c r="G38" s="458"/>
      <c r="H38" s="458"/>
      <c r="I38" s="458"/>
      <c r="J38" s="459"/>
    </row>
    <row r="39" spans="1:10" s="61" customFormat="1" x14ac:dyDescent="0.2">
      <c r="A39" s="457"/>
      <c r="B39" s="458"/>
      <c r="C39" s="458"/>
      <c r="D39" s="458"/>
      <c r="E39" s="458"/>
      <c r="F39" s="458"/>
      <c r="G39" s="458"/>
      <c r="H39" s="458"/>
      <c r="I39" s="458"/>
      <c r="J39" s="459"/>
    </row>
    <row r="40" spans="1:10" s="61" customFormat="1" x14ac:dyDescent="0.2">
      <c r="A40" s="457"/>
      <c r="B40" s="458"/>
      <c r="C40" s="458"/>
      <c r="D40" s="458"/>
      <c r="E40" s="458"/>
      <c r="F40" s="458"/>
      <c r="G40" s="458"/>
      <c r="H40" s="458"/>
      <c r="I40" s="458"/>
      <c r="J40" s="459"/>
    </row>
    <row r="41" spans="1:10" s="61" customFormat="1" x14ac:dyDescent="0.2">
      <c r="A41" s="457"/>
      <c r="B41" s="458"/>
      <c r="C41" s="458"/>
      <c r="D41" s="458"/>
      <c r="E41" s="458"/>
      <c r="F41" s="458"/>
      <c r="G41" s="458"/>
      <c r="H41" s="458"/>
      <c r="I41" s="458"/>
      <c r="J41" s="459"/>
    </row>
    <row r="42" spans="1:10" s="61" customFormat="1" x14ac:dyDescent="0.2">
      <c r="A42" s="457"/>
      <c r="B42" s="458"/>
      <c r="C42" s="458"/>
      <c r="D42" s="458"/>
      <c r="E42" s="458"/>
      <c r="F42" s="458"/>
      <c r="G42" s="458"/>
      <c r="H42" s="458"/>
      <c r="I42" s="458"/>
      <c r="J42" s="459"/>
    </row>
    <row r="43" spans="1:10" s="61" customFormat="1" x14ac:dyDescent="0.2">
      <c r="A43" s="457"/>
      <c r="B43" s="458"/>
      <c r="C43" s="458"/>
      <c r="D43" s="458"/>
      <c r="E43" s="458"/>
      <c r="F43" s="458"/>
      <c r="G43" s="458"/>
      <c r="H43" s="458"/>
      <c r="I43" s="458"/>
      <c r="J43" s="459"/>
    </row>
    <row r="44" spans="1:10" s="61" customFormat="1" x14ac:dyDescent="0.2">
      <c r="A44" s="457"/>
      <c r="B44" s="458"/>
      <c r="C44" s="458"/>
      <c r="D44" s="458"/>
      <c r="E44" s="458"/>
      <c r="F44" s="458"/>
      <c r="G44" s="458"/>
      <c r="H44" s="458"/>
      <c r="I44" s="458"/>
      <c r="J44" s="459"/>
    </row>
    <row r="45" spans="1:10" s="61" customFormat="1" x14ac:dyDescent="0.2">
      <c r="A45" s="457"/>
      <c r="B45" s="458"/>
      <c r="C45" s="458"/>
      <c r="D45" s="458"/>
      <c r="E45" s="458"/>
      <c r="F45" s="458"/>
      <c r="G45" s="458"/>
      <c r="H45" s="458"/>
      <c r="I45" s="458"/>
      <c r="J45" s="459"/>
    </row>
    <row r="46" spans="1:10" s="61" customFormat="1" x14ac:dyDescent="0.2">
      <c r="A46" s="55"/>
      <c r="B46" s="56"/>
      <c r="C46" s="57"/>
      <c r="D46" s="58"/>
      <c r="E46" s="58"/>
      <c r="F46" s="58"/>
      <c r="G46" s="58"/>
      <c r="H46" s="59"/>
      <c r="I46" s="57"/>
      <c r="J46" s="60"/>
    </row>
    <row r="47" spans="1:10" x14ac:dyDescent="0.2">
      <c r="A47" s="460" t="s">
        <v>521</v>
      </c>
      <c r="B47" s="461"/>
      <c r="C47" s="461"/>
      <c r="D47" s="461"/>
      <c r="E47" s="461"/>
      <c r="F47" s="461"/>
      <c r="G47" s="461"/>
      <c r="H47" s="461"/>
      <c r="I47" s="461"/>
      <c r="J47" s="462"/>
    </row>
    <row r="48" spans="1:10" x14ac:dyDescent="0.2">
      <c r="A48" s="463"/>
      <c r="B48" s="464"/>
      <c r="C48" s="464"/>
      <c r="D48" s="464"/>
      <c r="E48" s="464"/>
      <c r="F48" s="464"/>
      <c r="G48" s="464"/>
      <c r="H48" s="464"/>
      <c r="I48" s="464"/>
      <c r="J48" s="465"/>
    </row>
    <row r="49" spans="1:10" ht="12.75" customHeight="1" x14ac:dyDescent="0.2">
      <c r="A49" s="448" t="s">
        <v>549</v>
      </c>
      <c r="B49" s="449"/>
      <c r="C49" s="449"/>
      <c r="D49" s="449"/>
      <c r="E49" s="449"/>
      <c r="F49" s="449"/>
      <c r="G49" s="449"/>
      <c r="H49" s="449"/>
      <c r="I49" s="449"/>
      <c r="J49" s="450"/>
    </row>
    <row r="50" spans="1:10" ht="12.75" customHeight="1" x14ac:dyDescent="0.2">
      <c r="A50" s="451"/>
      <c r="B50" s="452"/>
      <c r="C50" s="452"/>
      <c r="D50" s="452"/>
      <c r="E50" s="452"/>
      <c r="F50" s="452"/>
      <c r="G50" s="452"/>
      <c r="H50" s="452"/>
      <c r="I50" s="452"/>
      <c r="J50" s="453"/>
    </row>
    <row r="51" spans="1:10" ht="12.75" customHeight="1" x14ac:dyDescent="0.2">
      <c r="A51" s="451"/>
      <c r="B51" s="452"/>
      <c r="C51" s="452"/>
      <c r="D51" s="452"/>
      <c r="E51" s="452"/>
      <c r="F51" s="452"/>
      <c r="G51" s="452"/>
      <c r="H51" s="452"/>
      <c r="I51" s="452"/>
      <c r="J51" s="453"/>
    </row>
    <row r="52" spans="1:10" ht="93" customHeight="1" x14ac:dyDescent="0.2">
      <c r="A52" s="454"/>
      <c r="B52" s="455"/>
      <c r="C52" s="455"/>
      <c r="D52" s="455"/>
      <c r="E52" s="455"/>
      <c r="F52" s="455"/>
      <c r="G52" s="455"/>
      <c r="H52" s="455"/>
      <c r="I52" s="455"/>
      <c r="J52" s="456"/>
    </row>
    <row r="53" spans="1:10" s="61" customFormat="1" ht="12.75" customHeight="1" x14ac:dyDescent="0.2">
      <c r="A53" s="475" t="s">
        <v>522</v>
      </c>
      <c r="B53" s="476"/>
      <c r="C53" s="476"/>
      <c r="D53" s="476"/>
      <c r="E53" s="476"/>
      <c r="F53" s="484">
        <v>1013030</v>
      </c>
      <c r="G53" s="484"/>
      <c r="H53" s="484"/>
      <c r="I53" s="484"/>
      <c r="J53" s="485"/>
    </row>
    <row r="54" spans="1:10" ht="12.75" customHeight="1" x14ac:dyDescent="0.2">
      <c r="A54" s="448" t="s">
        <v>524</v>
      </c>
      <c r="B54" s="449"/>
      <c r="C54" s="449"/>
      <c r="D54" s="449"/>
      <c r="E54" s="449"/>
      <c r="F54" s="449"/>
      <c r="G54" s="449"/>
      <c r="H54" s="449"/>
      <c r="I54" s="449"/>
      <c r="J54" s="450"/>
    </row>
    <row r="55" spans="1:10" ht="12.75" customHeight="1" x14ac:dyDescent="0.2">
      <c r="A55" s="451"/>
      <c r="B55" s="452"/>
      <c r="C55" s="452"/>
      <c r="D55" s="452"/>
      <c r="E55" s="452"/>
      <c r="F55" s="452"/>
      <c r="G55" s="452"/>
      <c r="H55" s="452"/>
      <c r="I55" s="452"/>
      <c r="J55" s="453"/>
    </row>
    <row r="56" spans="1:10" ht="12.75" customHeight="1" x14ac:dyDescent="0.2">
      <c r="A56" s="451"/>
      <c r="B56" s="452"/>
      <c r="C56" s="452"/>
      <c r="D56" s="452"/>
      <c r="E56" s="452"/>
      <c r="F56" s="452"/>
      <c r="G56" s="452"/>
      <c r="H56" s="452"/>
      <c r="I56" s="452"/>
      <c r="J56" s="453"/>
    </row>
    <row r="57" spans="1:10" ht="12.75" customHeight="1" x14ac:dyDescent="0.2">
      <c r="A57" s="451"/>
      <c r="B57" s="452"/>
      <c r="C57" s="452"/>
      <c r="D57" s="452"/>
      <c r="E57" s="452"/>
      <c r="F57" s="452"/>
      <c r="G57" s="452"/>
      <c r="H57" s="452"/>
      <c r="I57" s="452"/>
      <c r="J57" s="453"/>
    </row>
    <row r="58" spans="1:10" ht="15" customHeight="1" x14ac:dyDescent="0.2">
      <c r="A58" s="454"/>
      <c r="B58" s="455"/>
      <c r="C58" s="455"/>
      <c r="D58" s="455"/>
      <c r="E58" s="455"/>
      <c r="F58" s="455"/>
      <c r="G58" s="455"/>
      <c r="H58" s="455"/>
      <c r="I58" s="455"/>
      <c r="J58" s="456"/>
    </row>
    <row r="59" spans="1:10" s="61" customFormat="1" ht="12.75" customHeight="1" x14ac:dyDescent="0.2">
      <c r="A59" s="457" t="s">
        <v>1049</v>
      </c>
      <c r="B59" s="458"/>
      <c r="C59" s="458"/>
      <c r="D59" s="458"/>
      <c r="E59" s="458"/>
      <c r="F59" s="458"/>
      <c r="G59" s="458"/>
      <c r="H59" s="458"/>
      <c r="I59" s="458"/>
      <c r="J59" s="459"/>
    </row>
    <row r="60" spans="1:10" s="61" customFormat="1" x14ac:dyDescent="0.2">
      <c r="A60" s="457"/>
      <c r="B60" s="458"/>
      <c r="C60" s="458"/>
      <c r="D60" s="458"/>
      <c r="E60" s="458"/>
      <c r="F60" s="458"/>
      <c r="G60" s="458"/>
      <c r="H60" s="458"/>
      <c r="I60" s="458"/>
      <c r="J60" s="459"/>
    </row>
    <row r="61" spans="1:10" s="61" customFormat="1" x14ac:dyDescent="0.2">
      <c r="A61" s="457"/>
      <c r="B61" s="458"/>
      <c r="C61" s="458"/>
      <c r="D61" s="458"/>
      <c r="E61" s="458"/>
      <c r="F61" s="458"/>
      <c r="G61" s="458"/>
      <c r="H61" s="458"/>
      <c r="I61" s="458"/>
      <c r="J61" s="459"/>
    </row>
    <row r="62" spans="1:10" s="61" customFormat="1" x14ac:dyDescent="0.2">
      <c r="A62" s="457"/>
      <c r="B62" s="458"/>
      <c r="C62" s="458"/>
      <c r="D62" s="458"/>
      <c r="E62" s="458"/>
      <c r="F62" s="458"/>
      <c r="G62" s="458"/>
      <c r="H62" s="458"/>
      <c r="I62" s="458"/>
      <c r="J62" s="459"/>
    </row>
    <row r="63" spans="1:10" s="61" customFormat="1" x14ac:dyDescent="0.2">
      <c r="A63" s="457"/>
      <c r="B63" s="458"/>
      <c r="C63" s="458"/>
      <c r="D63" s="458"/>
      <c r="E63" s="458"/>
      <c r="F63" s="458"/>
      <c r="G63" s="458"/>
      <c r="H63" s="458"/>
      <c r="I63" s="458"/>
      <c r="J63" s="459"/>
    </row>
    <row r="64" spans="1:10" s="61" customFormat="1" x14ac:dyDescent="0.2">
      <c r="A64" s="457"/>
      <c r="B64" s="458"/>
      <c r="C64" s="458"/>
      <c r="D64" s="458"/>
      <c r="E64" s="458"/>
      <c r="F64" s="458"/>
      <c r="G64" s="458"/>
      <c r="H64" s="458"/>
      <c r="I64" s="458"/>
      <c r="J64" s="459"/>
    </row>
    <row r="65" spans="1:10" s="61" customFormat="1" x14ac:dyDescent="0.2">
      <c r="A65" s="457"/>
      <c r="B65" s="458"/>
      <c r="C65" s="458"/>
      <c r="D65" s="458"/>
      <c r="E65" s="458"/>
      <c r="F65" s="458"/>
      <c r="G65" s="458"/>
      <c r="H65" s="458"/>
      <c r="I65" s="458"/>
      <c r="J65" s="459"/>
    </row>
    <row r="66" spans="1:10" s="61" customFormat="1" x14ac:dyDescent="0.2">
      <c r="A66" s="457"/>
      <c r="B66" s="458"/>
      <c r="C66" s="458"/>
      <c r="D66" s="458"/>
      <c r="E66" s="458"/>
      <c r="F66" s="458"/>
      <c r="G66" s="458"/>
      <c r="H66" s="458"/>
      <c r="I66" s="458"/>
      <c r="J66" s="459"/>
    </row>
    <row r="67" spans="1:10" s="61" customFormat="1" x14ac:dyDescent="0.2">
      <c r="A67" s="457"/>
      <c r="B67" s="458"/>
      <c r="C67" s="458"/>
      <c r="D67" s="458"/>
      <c r="E67" s="458"/>
      <c r="F67" s="458"/>
      <c r="G67" s="458"/>
      <c r="H67" s="458"/>
      <c r="I67" s="458"/>
      <c r="J67" s="459"/>
    </row>
    <row r="68" spans="1:10" s="61" customFormat="1" x14ac:dyDescent="0.2">
      <c r="A68" s="457"/>
      <c r="B68" s="458"/>
      <c r="C68" s="458"/>
      <c r="D68" s="458"/>
      <c r="E68" s="458"/>
      <c r="F68" s="458"/>
      <c r="G68" s="458"/>
      <c r="H68" s="458"/>
      <c r="I68" s="458"/>
      <c r="J68" s="459"/>
    </row>
    <row r="69" spans="1:10" s="61" customFormat="1" x14ac:dyDescent="0.2">
      <c r="A69" s="457"/>
      <c r="B69" s="458"/>
      <c r="C69" s="458"/>
      <c r="D69" s="458"/>
      <c r="E69" s="458"/>
      <c r="F69" s="458"/>
      <c r="G69" s="458"/>
      <c r="H69" s="458"/>
      <c r="I69" s="458"/>
      <c r="J69" s="459"/>
    </row>
    <row r="70" spans="1:10" s="61" customFormat="1" x14ac:dyDescent="0.2">
      <c r="A70" s="457"/>
      <c r="B70" s="458"/>
      <c r="C70" s="458"/>
      <c r="D70" s="458"/>
      <c r="E70" s="458"/>
      <c r="F70" s="458"/>
      <c r="G70" s="458"/>
      <c r="H70" s="458"/>
      <c r="I70" s="458"/>
      <c r="J70" s="459"/>
    </row>
    <row r="71" spans="1:10" s="61" customFormat="1" x14ac:dyDescent="0.2">
      <c r="A71" s="457"/>
      <c r="B71" s="458"/>
      <c r="C71" s="458"/>
      <c r="D71" s="458"/>
      <c r="E71" s="458"/>
      <c r="F71" s="458"/>
      <c r="G71" s="458"/>
      <c r="H71" s="458"/>
      <c r="I71" s="458"/>
      <c r="J71" s="459"/>
    </row>
    <row r="72" spans="1:10" s="61" customFormat="1" x14ac:dyDescent="0.2">
      <c r="A72" s="457"/>
      <c r="B72" s="458"/>
      <c r="C72" s="458"/>
      <c r="D72" s="458"/>
      <c r="E72" s="458"/>
      <c r="F72" s="458"/>
      <c r="G72" s="458"/>
      <c r="H72" s="458"/>
      <c r="I72" s="458"/>
      <c r="J72" s="459"/>
    </row>
    <row r="73" spans="1:10" s="61" customFormat="1" x14ac:dyDescent="0.2">
      <c r="A73" s="457"/>
      <c r="B73" s="458"/>
      <c r="C73" s="458"/>
      <c r="D73" s="458"/>
      <c r="E73" s="458"/>
      <c r="F73" s="458"/>
      <c r="G73" s="458"/>
      <c r="H73" s="458"/>
      <c r="I73" s="458"/>
      <c r="J73" s="459"/>
    </row>
    <row r="74" spans="1:10" s="61" customFormat="1" x14ac:dyDescent="0.2">
      <c r="A74" s="457"/>
      <c r="B74" s="458"/>
      <c r="C74" s="458"/>
      <c r="D74" s="458"/>
      <c r="E74" s="458"/>
      <c r="F74" s="458"/>
      <c r="G74" s="458"/>
      <c r="H74" s="458"/>
      <c r="I74" s="458"/>
      <c r="J74" s="459"/>
    </row>
    <row r="75" spans="1:10" s="61" customFormat="1" x14ac:dyDescent="0.2">
      <c r="A75" s="457"/>
      <c r="B75" s="458"/>
      <c r="C75" s="458"/>
      <c r="D75" s="458"/>
      <c r="E75" s="458"/>
      <c r="F75" s="458"/>
      <c r="G75" s="458"/>
      <c r="H75" s="458"/>
      <c r="I75" s="458"/>
      <c r="J75" s="459"/>
    </row>
    <row r="76" spans="1:10" s="61" customFormat="1" x14ac:dyDescent="0.2">
      <c r="A76" s="457"/>
      <c r="B76" s="458"/>
      <c r="C76" s="458"/>
      <c r="D76" s="458"/>
      <c r="E76" s="458"/>
      <c r="F76" s="458"/>
      <c r="G76" s="458"/>
      <c r="H76" s="458"/>
      <c r="I76" s="458"/>
      <c r="J76" s="459"/>
    </row>
    <row r="77" spans="1:10" s="61" customFormat="1" x14ac:dyDescent="0.2">
      <c r="A77" s="457"/>
      <c r="B77" s="458"/>
      <c r="C77" s="458"/>
      <c r="D77" s="458"/>
      <c r="E77" s="458"/>
      <c r="F77" s="458"/>
      <c r="G77" s="458"/>
      <c r="H77" s="458"/>
      <c r="I77" s="458"/>
      <c r="J77" s="459"/>
    </row>
    <row r="78" spans="1:10" s="61" customFormat="1" x14ac:dyDescent="0.2">
      <c r="A78" s="457"/>
      <c r="B78" s="458"/>
      <c r="C78" s="458"/>
      <c r="D78" s="458"/>
      <c r="E78" s="458"/>
      <c r="F78" s="458"/>
      <c r="G78" s="458"/>
      <c r="H78" s="458"/>
      <c r="I78" s="458"/>
      <c r="J78" s="459"/>
    </row>
    <row r="79" spans="1:10" s="61" customFormat="1" x14ac:dyDescent="0.2">
      <c r="A79" s="55"/>
      <c r="B79" s="56"/>
      <c r="C79" s="57"/>
      <c r="D79" s="58"/>
      <c r="E79" s="58"/>
      <c r="F79" s="58"/>
      <c r="G79" s="58"/>
      <c r="H79" s="59"/>
      <c r="I79" s="57"/>
      <c r="J79" s="60"/>
    </row>
    <row r="80" spans="1:10" x14ac:dyDescent="0.2">
      <c r="A80" s="460" t="s">
        <v>525</v>
      </c>
      <c r="B80" s="461"/>
      <c r="C80" s="461"/>
      <c r="D80" s="461"/>
      <c r="E80" s="461"/>
      <c r="F80" s="461"/>
      <c r="G80" s="461"/>
      <c r="H80" s="461"/>
      <c r="I80" s="461"/>
      <c r="J80" s="462"/>
    </row>
    <row r="81" spans="1:10" x14ac:dyDescent="0.2">
      <c r="A81" s="463"/>
      <c r="B81" s="464"/>
      <c r="C81" s="464"/>
      <c r="D81" s="464"/>
      <c r="E81" s="464"/>
      <c r="F81" s="464"/>
      <c r="G81" s="464"/>
      <c r="H81" s="464"/>
      <c r="I81" s="464"/>
      <c r="J81" s="465"/>
    </row>
    <row r="82" spans="1:10" ht="12.75" customHeight="1" x14ac:dyDescent="0.2">
      <c r="A82" s="466" t="s">
        <v>559</v>
      </c>
      <c r="B82" s="467"/>
      <c r="C82" s="467"/>
      <c r="D82" s="467"/>
      <c r="E82" s="467"/>
      <c r="F82" s="467"/>
      <c r="G82" s="467"/>
      <c r="H82" s="467"/>
      <c r="I82" s="467"/>
      <c r="J82" s="468"/>
    </row>
    <row r="83" spans="1:10" ht="12.75" customHeight="1" x14ac:dyDescent="0.2">
      <c r="A83" s="469"/>
      <c r="B83" s="470"/>
      <c r="C83" s="470"/>
      <c r="D83" s="470"/>
      <c r="E83" s="470"/>
      <c r="F83" s="470"/>
      <c r="G83" s="470"/>
      <c r="H83" s="470"/>
      <c r="I83" s="470"/>
      <c r="J83" s="471"/>
    </row>
    <row r="84" spans="1:10" ht="12.75" customHeight="1" x14ac:dyDescent="0.2">
      <c r="A84" s="469"/>
      <c r="B84" s="470"/>
      <c r="C84" s="470"/>
      <c r="D84" s="470"/>
      <c r="E84" s="470"/>
      <c r="F84" s="470"/>
      <c r="G84" s="470"/>
      <c r="H84" s="470"/>
      <c r="I84" s="470"/>
      <c r="J84" s="471"/>
    </row>
    <row r="85" spans="1:10" ht="12.75" customHeight="1" x14ac:dyDescent="0.2">
      <c r="A85" s="469"/>
      <c r="B85" s="470"/>
      <c r="C85" s="470"/>
      <c r="D85" s="470"/>
      <c r="E85" s="470"/>
      <c r="F85" s="470"/>
      <c r="G85" s="470"/>
      <c r="H85" s="470"/>
      <c r="I85" s="470"/>
      <c r="J85" s="471"/>
    </row>
    <row r="86" spans="1:10" ht="12.75" customHeight="1" x14ac:dyDescent="0.2">
      <c r="A86" s="469"/>
      <c r="B86" s="470"/>
      <c r="C86" s="470"/>
      <c r="D86" s="470"/>
      <c r="E86" s="470"/>
      <c r="F86" s="470"/>
      <c r="G86" s="470"/>
      <c r="H86" s="470"/>
      <c r="I86" s="470"/>
      <c r="J86" s="471"/>
    </row>
    <row r="87" spans="1:10" ht="73.900000000000006" customHeight="1" x14ac:dyDescent="0.2">
      <c r="A87" s="472"/>
      <c r="B87" s="473"/>
      <c r="C87" s="473"/>
      <c r="D87" s="473"/>
      <c r="E87" s="473"/>
      <c r="F87" s="473"/>
      <c r="G87" s="473"/>
      <c r="H87" s="473"/>
      <c r="I87" s="473"/>
      <c r="J87" s="474"/>
    </row>
    <row r="88" spans="1:10" s="61" customFormat="1" ht="12.75" customHeight="1" x14ac:dyDescent="0.2">
      <c r="A88" s="475" t="s">
        <v>523</v>
      </c>
      <c r="B88" s="476"/>
      <c r="C88" s="476"/>
      <c r="D88" s="476"/>
      <c r="E88" s="476"/>
      <c r="F88" s="477">
        <v>2298384.7999999998</v>
      </c>
      <c r="G88" s="477"/>
      <c r="H88" s="477"/>
      <c r="I88" s="477"/>
      <c r="J88" s="478"/>
    </row>
    <row r="89" spans="1:10" ht="12.75" customHeight="1" x14ac:dyDescent="0.2">
      <c r="A89" s="448" t="s">
        <v>342</v>
      </c>
      <c r="B89" s="449"/>
      <c r="C89" s="449"/>
      <c r="D89" s="449"/>
      <c r="E89" s="449"/>
      <c r="F89" s="449"/>
      <c r="G89" s="449"/>
      <c r="H89" s="449"/>
      <c r="I89" s="449"/>
      <c r="J89" s="450"/>
    </row>
    <row r="90" spans="1:10" ht="12.75" customHeight="1" x14ac:dyDescent="0.2">
      <c r="A90" s="451"/>
      <c r="B90" s="452"/>
      <c r="C90" s="452"/>
      <c r="D90" s="452"/>
      <c r="E90" s="452"/>
      <c r="F90" s="452"/>
      <c r="G90" s="452"/>
      <c r="H90" s="452"/>
      <c r="I90" s="452"/>
      <c r="J90" s="453"/>
    </row>
    <row r="91" spans="1:10" ht="12.75" customHeight="1" x14ac:dyDescent="0.2">
      <c r="A91" s="451"/>
      <c r="B91" s="452"/>
      <c r="C91" s="452"/>
      <c r="D91" s="452"/>
      <c r="E91" s="452"/>
      <c r="F91" s="452"/>
      <c r="G91" s="452"/>
      <c r="H91" s="452"/>
      <c r="I91" s="452"/>
      <c r="J91" s="453"/>
    </row>
    <row r="92" spans="1:10" s="61" customFormat="1" ht="12.75" customHeight="1" x14ac:dyDescent="0.2">
      <c r="A92" s="457" t="s">
        <v>1099</v>
      </c>
      <c r="B92" s="458"/>
      <c r="C92" s="458"/>
      <c r="D92" s="458"/>
      <c r="E92" s="458"/>
      <c r="F92" s="458"/>
      <c r="G92" s="458"/>
      <c r="H92" s="458"/>
      <c r="I92" s="458"/>
      <c r="J92" s="459"/>
    </row>
    <row r="93" spans="1:10" s="61" customFormat="1" x14ac:dyDescent="0.2">
      <c r="A93" s="457"/>
      <c r="B93" s="458"/>
      <c r="C93" s="458"/>
      <c r="D93" s="458"/>
      <c r="E93" s="458"/>
      <c r="F93" s="458"/>
      <c r="G93" s="458"/>
      <c r="H93" s="458"/>
      <c r="I93" s="458"/>
      <c r="J93" s="459"/>
    </row>
    <row r="94" spans="1:10" s="61" customFormat="1" x14ac:dyDescent="0.2">
      <c r="A94" s="457"/>
      <c r="B94" s="458"/>
      <c r="C94" s="458"/>
      <c r="D94" s="458"/>
      <c r="E94" s="458"/>
      <c r="F94" s="458"/>
      <c r="G94" s="458"/>
      <c r="H94" s="458"/>
      <c r="I94" s="458"/>
      <c r="J94" s="459"/>
    </row>
    <row r="95" spans="1:10" s="61" customFormat="1" x14ac:dyDescent="0.2">
      <c r="A95" s="457"/>
      <c r="B95" s="458"/>
      <c r="C95" s="458"/>
      <c r="D95" s="458"/>
      <c r="E95" s="458"/>
      <c r="F95" s="458"/>
      <c r="G95" s="458"/>
      <c r="H95" s="458"/>
      <c r="I95" s="458"/>
      <c r="J95" s="459"/>
    </row>
    <row r="96" spans="1:10" s="61" customFormat="1" x14ac:dyDescent="0.2">
      <c r="A96" s="457"/>
      <c r="B96" s="458"/>
      <c r="C96" s="458"/>
      <c r="D96" s="458"/>
      <c r="E96" s="458"/>
      <c r="F96" s="458"/>
      <c r="G96" s="458"/>
      <c r="H96" s="458"/>
      <c r="I96" s="458"/>
      <c r="J96" s="459"/>
    </row>
    <row r="97" spans="1:10" s="61" customFormat="1" x14ac:dyDescent="0.2">
      <c r="A97" s="457"/>
      <c r="B97" s="458"/>
      <c r="C97" s="458"/>
      <c r="D97" s="458"/>
      <c r="E97" s="458"/>
      <c r="F97" s="458"/>
      <c r="G97" s="458"/>
      <c r="H97" s="458"/>
      <c r="I97" s="458"/>
      <c r="J97" s="459"/>
    </row>
    <row r="98" spans="1:10" s="61" customFormat="1" x14ac:dyDescent="0.2">
      <c r="A98" s="457"/>
      <c r="B98" s="458"/>
      <c r="C98" s="458"/>
      <c r="D98" s="458"/>
      <c r="E98" s="458"/>
      <c r="F98" s="458"/>
      <c r="G98" s="458"/>
      <c r="H98" s="458"/>
      <c r="I98" s="458"/>
      <c r="J98" s="459"/>
    </row>
    <row r="99" spans="1:10" s="61" customFormat="1" x14ac:dyDescent="0.2">
      <c r="A99" s="457"/>
      <c r="B99" s="458"/>
      <c r="C99" s="458"/>
      <c r="D99" s="458"/>
      <c r="E99" s="458"/>
      <c r="F99" s="458"/>
      <c r="G99" s="458"/>
      <c r="H99" s="458"/>
      <c r="I99" s="458"/>
      <c r="J99" s="459"/>
    </row>
    <row r="100" spans="1:10" s="61" customFormat="1" x14ac:dyDescent="0.2">
      <c r="A100" s="457"/>
      <c r="B100" s="458"/>
      <c r="C100" s="458"/>
      <c r="D100" s="458"/>
      <c r="E100" s="458"/>
      <c r="F100" s="458"/>
      <c r="G100" s="458"/>
      <c r="H100" s="458"/>
      <c r="I100" s="458"/>
      <c r="J100" s="459"/>
    </row>
    <row r="101" spans="1:10" s="61" customFormat="1" x14ac:dyDescent="0.2">
      <c r="A101" s="457"/>
      <c r="B101" s="458"/>
      <c r="C101" s="458"/>
      <c r="D101" s="458"/>
      <c r="E101" s="458"/>
      <c r="F101" s="458"/>
      <c r="G101" s="458"/>
      <c r="H101" s="458"/>
      <c r="I101" s="458"/>
      <c r="J101" s="459"/>
    </row>
    <row r="102" spans="1:10" s="61" customFormat="1" x14ac:dyDescent="0.2">
      <c r="A102" s="457"/>
      <c r="B102" s="458"/>
      <c r="C102" s="458"/>
      <c r="D102" s="458"/>
      <c r="E102" s="458"/>
      <c r="F102" s="458"/>
      <c r="G102" s="458"/>
      <c r="H102" s="458"/>
      <c r="I102" s="458"/>
      <c r="J102" s="459"/>
    </row>
    <row r="103" spans="1:10" s="61" customFormat="1" x14ac:dyDescent="0.2">
      <c r="A103" s="457"/>
      <c r="B103" s="458"/>
      <c r="C103" s="458"/>
      <c r="D103" s="458"/>
      <c r="E103" s="458"/>
      <c r="F103" s="458"/>
      <c r="G103" s="458"/>
      <c r="H103" s="458"/>
      <c r="I103" s="458"/>
      <c r="J103" s="459"/>
    </row>
    <row r="104" spans="1:10" s="61" customFormat="1" x14ac:dyDescent="0.2">
      <c r="A104" s="457"/>
      <c r="B104" s="458"/>
      <c r="C104" s="458"/>
      <c r="D104" s="458"/>
      <c r="E104" s="458"/>
      <c r="F104" s="458"/>
      <c r="G104" s="458"/>
      <c r="H104" s="458"/>
      <c r="I104" s="458"/>
      <c r="J104" s="459"/>
    </row>
    <row r="105" spans="1:10" s="61" customFormat="1" x14ac:dyDescent="0.2">
      <c r="A105" s="457"/>
      <c r="B105" s="458"/>
      <c r="C105" s="458"/>
      <c r="D105" s="458"/>
      <c r="E105" s="458"/>
      <c r="F105" s="458"/>
      <c r="G105" s="458"/>
      <c r="H105" s="458"/>
      <c r="I105" s="458"/>
      <c r="J105" s="459"/>
    </row>
    <row r="106" spans="1:10" s="61" customFormat="1" x14ac:dyDescent="0.2">
      <c r="A106" s="457"/>
      <c r="B106" s="458"/>
      <c r="C106" s="458"/>
      <c r="D106" s="458"/>
      <c r="E106" s="458"/>
      <c r="F106" s="458"/>
      <c r="G106" s="458"/>
      <c r="H106" s="458"/>
      <c r="I106" s="458"/>
      <c r="J106" s="459"/>
    </row>
    <row r="107" spans="1:10" s="61" customFormat="1" x14ac:dyDescent="0.2">
      <c r="A107" s="457"/>
      <c r="B107" s="458"/>
      <c r="C107" s="458"/>
      <c r="D107" s="458"/>
      <c r="E107" s="458"/>
      <c r="F107" s="458"/>
      <c r="G107" s="458"/>
      <c r="H107" s="458"/>
      <c r="I107" s="458"/>
      <c r="J107" s="459"/>
    </row>
    <row r="108" spans="1:10" s="61" customFormat="1" x14ac:dyDescent="0.2">
      <c r="A108" s="457"/>
      <c r="B108" s="458"/>
      <c r="C108" s="458"/>
      <c r="D108" s="458"/>
      <c r="E108" s="458"/>
      <c r="F108" s="458"/>
      <c r="G108" s="458"/>
      <c r="H108" s="458"/>
      <c r="I108" s="458"/>
      <c r="J108" s="459"/>
    </row>
    <row r="109" spans="1:10" s="61" customFormat="1" x14ac:dyDescent="0.2">
      <c r="A109" s="457"/>
      <c r="B109" s="458"/>
      <c r="C109" s="458"/>
      <c r="D109" s="458"/>
      <c r="E109" s="458"/>
      <c r="F109" s="458"/>
      <c r="G109" s="458"/>
      <c r="H109" s="458"/>
      <c r="I109" s="458"/>
      <c r="J109" s="459"/>
    </row>
    <row r="110" spans="1:10" s="61" customFormat="1" x14ac:dyDescent="0.2">
      <c r="A110" s="457"/>
      <c r="B110" s="458"/>
      <c r="C110" s="458"/>
      <c r="D110" s="458"/>
      <c r="E110" s="458"/>
      <c r="F110" s="458"/>
      <c r="G110" s="458"/>
      <c r="H110" s="458"/>
      <c r="I110" s="458"/>
      <c r="J110" s="459"/>
    </row>
    <row r="111" spans="1:10" s="61" customFormat="1" x14ac:dyDescent="0.2">
      <c r="A111" s="457"/>
      <c r="B111" s="458"/>
      <c r="C111" s="458"/>
      <c r="D111" s="458"/>
      <c r="E111" s="458"/>
      <c r="F111" s="458"/>
      <c r="G111" s="458"/>
      <c r="H111" s="458"/>
      <c r="I111" s="458"/>
      <c r="J111" s="459"/>
    </row>
    <row r="112" spans="1:10" s="61" customFormat="1" x14ac:dyDescent="0.2">
      <c r="A112" s="55"/>
      <c r="B112" s="56"/>
      <c r="C112" s="57"/>
      <c r="D112" s="58"/>
      <c r="E112" s="58"/>
      <c r="F112" s="58"/>
      <c r="G112" s="58"/>
      <c r="H112" s="59"/>
      <c r="I112" s="57"/>
      <c r="J112" s="60"/>
    </row>
    <row r="113" spans="1:10" ht="15.75" customHeight="1" x14ac:dyDescent="0.2">
      <c r="A113" s="460" t="s">
        <v>526</v>
      </c>
      <c r="B113" s="461"/>
      <c r="C113" s="461"/>
      <c r="D113" s="461"/>
      <c r="E113" s="461"/>
      <c r="F113" s="461"/>
      <c r="G113" s="461"/>
      <c r="H113" s="461"/>
      <c r="I113" s="461"/>
      <c r="J113" s="462"/>
    </row>
    <row r="114" spans="1:10" x14ac:dyDescent="0.2">
      <c r="A114" s="463"/>
      <c r="B114" s="464"/>
      <c r="C114" s="464"/>
      <c r="D114" s="464"/>
      <c r="E114" s="464"/>
      <c r="F114" s="464"/>
      <c r="G114" s="464"/>
      <c r="H114" s="464"/>
      <c r="I114" s="464"/>
      <c r="J114" s="465"/>
    </row>
    <row r="115" spans="1:10" ht="12.75" customHeight="1" x14ac:dyDescent="0.2">
      <c r="A115" s="448" t="s">
        <v>527</v>
      </c>
      <c r="B115" s="449"/>
      <c r="C115" s="449"/>
      <c r="D115" s="449"/>
      <c r="E115" s="449"/>
      <c r="F115" s="449"/>
      <c r="G115" s="449"/>
      <c r="H115" s="449"/>
      <c r="I115" s="449"/>
      <c r="J115" s="450"/>
    </row>
    <row r="116" spans="1:10" ht="12.75" customHeight="1" x14ac:dyDescent="0.2">
      <c r="A116" s="451"/>
      <c r="B116" s="452"/>
      <c r="C116" s="452"/>
      <c r="D116" s="452"/>
      <c r="E116" s="452"/>
      <c r="F116" s="452"/>
      <c r="G116" s="452"/>
      <c r="H116" s="452"/>
      <c r="I116" s="452"/>
      <c r="J116" s="453"/>
    </row>
    <row r="117" spans="1:10" ht="12.75" customHeight="1" x14ac:dyDescent="0.2">
      <c r="A117" s="451"/>
      <c r="B117" s="452"/>
      <c r="C117" s="452"/>
      <c r="D117" s="452"/>
      <c r="E117" s="452"/>
      <c r="F117" s="452"/>
      <c r="G117" s="452"/>
      <c r="H117" s="452"/>
      <c r="I117" s="452"/>
      <c r="J117" s="453"/>
    </row>
    <row r="118" spans="1:10" ht="15" customHeight="1" x14ac:dyDescent="0.2">
      <c r="A118" s="451"/>
      <c r="B118" s="452"/>
      <c r="C118" s="452"/>
      <c r="D118" s="452"/>
      <c r="E118" s="452"/>
      <c r="F118" s="452"/>
      <c r="G118" s="452"/>
      <c r="H118" s="452"/>
      <c r="I118" s="452"/>
      <c r="J118" s="453"/>
    </row>
    <row r="119" spans="1:10" s="61" customFormat="1" ht="12.75" customHeight="1" x14ac:dyDescent="0.2">
      <c r="A119" s="451"/>
      <c r="B119" s="452"/>
      <c r="C119" s="452"/>
      <c r="D119" s="452"/>
      <c r="E119" s="452"/>
      <c r="F119" s="452"/>
      <c r="G119" s="452"/>
      <c r="H119" s="452"/>
      <c r="I119" s="452"/>
      <c r="J119" s="453"/>
    </row>
    <row r="120" spans="1:10" ht="8.4499999999999993" customHeight="1" x14ac:dyDescent="0.2">
      <c r="A120" s="454"/>
      <c r="B120" s="455"/>
      <c r="C120" s="455"/>
      <c r="D120" s="455"/>
      <c r="E120" s="455"/>
      <c r="F120" s="455"/>
      <c r="G120" s="455"/>
      <c r="H120" s="455"/>
      <c r="I120" s="455"/>
      <c r="J120" s="456"/>
    </row>
    <row r="121" spans="1:10" ht="12.75" customHeight="1" x14ac:dyDescent="0.2">
      <c r="A121" s="475" t="s">
        <v>528</v>
      </c>
      <c r="B121" s="476"/>
      <c r="C121" s="476"/>
      <c r="D121" s="476"/>
      <c r="E121" s="476"/>
      <c r="F121" s="484">
        <v>382093.55</v>
      </c>
      <c r="G121" s="484"/>
      <c r="H121" s="484"/>
      <c r="I121" s="484"/>
      <c r="J121" s="485"/>
    </row>
    <row r="122" spans="1:10" ht="15" customHeight="1" x14ac:dyDescent="0.2">
      <c r="A122" s="448" t="s">
        <v>342</v>
      </c>
      <c r="B122" s="449"/>
      <c r="C122" s="449"/>
      <c r="D122" s="449"/>
      <c r="E122" s="449"/>
      <c r="F122" s="449"/>
      <c r="G122" s="449"/>
      <c r="H122" s="449"/>
      <c r="I122" s="449"/>
      <c r="J122" s="450"/>
    </row>
    <row r="123" spans="1:10" ht="15" customHeight="1" x14ac:dyDescent="0.2">
      <c r="A123" s="451"/>
      <c r="B123" s="452"/>
      <c r="C123" s="452"/>
      <c r="D123" s="452"/>
      <c r="E123" s="452"/>
      <c r="F123" s="452"/>
      <c r="G123" s="452"/>
      <c r="H123" s="452"/>
      <c r="I123" s="452"/>
      <c r="J123" s="453"/>
    </row>
    <row r="124" spans="1:10" s="61" customFormat="1" ht="12.75" customHeight="1" x14ac:dyDescent="0.2">
      <c r="A124" s="451"/>
      <c r="B124" s="452"/>
      <c r="C124" s="452"/>
      <c r="D124" s="452"/>
      <c r="E124" s="452"/>
      <c r="F124" s="452"/>
      <c r="G124" s="452"/>
      <c r="H124" s="452"/>
      <c r="I124" s="452"/>
      <c r="J124" s="453"/>
    </row>
    <row r="125" spans="1:10" s="61" customFormat="1" x14ac:dyDescent="0.2">
      <c r="A125" s="457" t="s">
        <v>1121</v>
      </c>
      <c r="B125" s="458"/>
      <c r="C125" s="458"/>
      <c r="D125" s="458"/>
      <c r="E125" s="458"/>
      <c r="F125" s="458"/>
      <c r="G125" s="458"/>
      <c r="H125" s="458"/>
      <c r="I125" s="458"/>
      <c r="J125" s="459"/>
    </row>
    <row r="126" spans="1:10" s="61" customFormat="1" x14ac:dyDescent="0.2">
      <c r="A126" s="457"/>
      <c r="B126" s="458"/>
      <c r="C126" s="458"/>
      <c r="D126" s="458"/>
      <c r="E126" s="458"/>
      <c r="F126" s="458"/>
      <c r="G126" s="458"/>
      <c r="H126" s="458"/>
      <c r="I126" s="458"/>
      <c r="J126" s="459"/>
    </row>
    <row r="127" spans="1:10" s="61" customFormat="1" x14ac:dyDescent="0.2">
      <c r="A127" s="457"/>
      <c r="B127" s="458"/>
      <c r="C127" s="458"/>
      <c r="D127" s="458"/>
      <c r="E127" s="458"/>
      <c r="F127" s="458"/>
      <c r="G127" s="458"/>
      <c r="H127" s="458"/>
      <c r="I127" s="458"/>
      <c r="J127" s="459"/>
    </row>
    <row r="128" spans="1:10" s="61" customFormat="1" x14ac:dyDescent="0.2">
      <c r="A128" s="457"/>
      <c r="B128" s="458"/>
      <c r="C128" s="458"/>
      <c r="D128" s="458"/>
      <c r="E128" s="458"/>
      <c r="F128" s="458"/>
      <c r="G128" s="458"/>
      <c r="H128" s="458"/>
      <c r="I128" s="458"/>
      <c r="J128" s="459"/>
    </row>
    <row r="129" spans="1:10" s="61" customFormat="1" x14ac:dyDescent="0.2">
      <c r="A129" s="457"/>
      <c r="B129" s="458"/>
      <c r="C129" s="458"/>
      <c r="D129" s="458"/>
      <c r="E129" s="458"/>
      <c r="F129" s="458"/>
      <c r="G129" s="458"/>
      <c r="H129" s="458"/>
      <c r="I129" s="458"/>
      <c r="J129" s="459"/>
    </row>
    <row r="130" spans="1:10" s="61" customFormat="1" x14ac:dyDescent="0.2">
      <c r="A130" s="457"/>
      <c r="B130" s="458"/>
      <c r="C130" s="458"/>
      <c r="D130" s="458"/>
      <c r="E130" s="458"/>
      <c r="F130" s="458"/>
      <c r="G130" s="458"/>
      <c r="H130" s="458"/>
      <c r="I130" s="458"/>
      <c r="J130" s="459"/>
    </row>
    <row r="131" spans="1:10" s="61" customFormat="1" x14ac:dyDescent="0.2">
      <c r="A131" s="457"/>
      <c r="B131" s="458"/>
      <c r="C131" s="458"/>
      <c r="D131" s="458"/>
      <c r="E131" s="458"/>
      <c r="F131" s="458"/>
      <c r="G131" s="458"/>
      <c r="H131" s="458"/>
      <c r="I131" s="458"/>
      <c r="J131" s="459"/>
    </row>
    <row r="132" spans="1:10" s="61" customFormat="1" x14ac:dyDescent="0.2">
      <c r="A132" s="457"/>
      <c r="B132" s="458"/>
      <c r="C132" s="458"/>
      <c r="D132" s="458"/>
      <c r="E132" s="458"/>
      <c r="F132" s="458"/>
      <c r="G132" s="458"/>
      <c r="H132" s="458"/>
      <c r="I132" s="458"/>
      <c r="J132" s="459"/>
    </row>
    <row r="133" spans="1:10" s="61" customFormat="1" x14ac:dyDescent="0.2">
      <c r="A133" s="457"/>
      <c r="B133" s="458"/>
      <c r="C133" s="458"/>
      <c r="D133" s="458"/>
      <c r="E133" s="458"/>
      <c r="F133" s="458"/>
      <c r="G133" s="458"/>
      <c r="H133" s="458"/>
      <c r="I133" s="458"/>
      <c r="J133" s="459"/>
    </row>
    <row r="134" spans="1:10" s="61" customFormat="1" x14ac:dyDescent="0.2">
      <c r="A134" s="457"/>
      <c r="B134" s="458"/>
      <c r="C134" s="458"/>
      <c r="D134" s="458"/>
      <c r="E134" s="458"/>
      <c r="F134" s="458"/>
      <c r="G134" s="458"/>
      <c r="H134" s="458"/>
      <c r="I134" s="458"/>
      <c r="J134" s="459"/>
    </row>
    <row r="135" spans="1:10" s="61" customFormat="1" x14ac:dyDescent="0.2">
      <c r="A135" s="457"/>
      <c r="B135" s="458"/>
      <c r="C135" s="458"/>
      <c r="D135" s="458"/>
      <c r="E135" s="458"/>
      <c r="F135" s="458"/>
      <c r="G135" s="458"/>
      <c r="H135" s="458"/>
      <c r="I135" s="458"/>
      <c r="J135" s="459"/>
    </row>
    <row r="136" spans="1:10" s="61" customFormat="1" x14ac:dyDescent="0.2">
      <c r="A136" s="457"/>
      <c r="B136" s="458"/>
      <c r="C136" s="458"/>
      <c r="D136" s="458"/>
      <c r="E136" s="458"/>
      <c r="F136" s="458"/>
      <c r="G136" s="458"/>
      <c r="H136" s="458"/>
      <c r="I136" s="458"/>
      <c r="J136" s="459"/>
    </row>
    <row r="137" spans="1:10" s="61" customFormat="1" x14ac:dyDescent="0.2">
      <c r="A137" s="457"/>
      <c r="B137" s="458"/>
      <c r="C137" s="458"/>
      <c r="D137" s="458"/>
      <c r="E137" s="458"/>
      <c r="F137" s="458"/>
      <c r="G137" s="458"/>
      <c r="H137" s="458"/>
      <c r="I137" s="458"/>
      <c r="J137" s="459"/>
    </row>
    <row r="138" spans="1:10" s="61" customFormat="1" x14ac:dyDescent="0.2">
      <c r="A138" s="457"/>
      <c r="B138" s="458"/>
      <c r="C138" s="458"/>
      <c r="D138" s="458"/>
      <c r="E138" s="458"/>
      <c r="F138" s="458"/>
      <c r="G138" s="458"/>
      <c r="H138" s="458"/>
      <c r="I138" s="458"/>
      <c r="J138" s="459"/>
    </row>
    <row r="139" spans="1:10" s="61" customFormat="1" x14ac:dyDescent="0.2">
      <c r="A139" s="457"/>
      <c r="B139" s="458"/>
      <c r="C139" s="458"/>
      <c r="D139" s="458"/>
      <c r="E139" s="458"/>
      <c r="F139" s="458"/>
      <c r="G139" s="458"/>
      <c r="H139" s="458"/>
      <c r="I139" s="458"/>
      <c r="J139" s="459"/>
    </row>
    <row r="140" spans="1:10" s="61" customFormat="1" x14ac:dyDescent="0.2">
      <c r="A140" s="457"/>
      <c r="B140" s="458"/>
      <c r="C140" s="458"/>
      <c r="D140" s="458"/>
      <c r="E140" s="458"/>
      <c r="F140" s="458"/>
      <c r="G140" s="458"/>
      <c r="H140" s="458"/>
      <c r="I140" s="458"/>
      <c r="J140" s="459"/>
    </row>
    <row r="141" spans="1:10" s="61" customFormat="1" x14ac:dyDescent="0.2">
      <c r="A141" s="457"/>
      <c r="B141" s="458"/>
      <c r="C141" s="458"/>
      <c r="D141" s="458"/>
      <c r="E141" s="458"/>
      <c r="F141" s="458"/>
      <c r="G141" s="458"/>
      <c r="H141" s="458"/>
      <c r="I141" s="458"/>
      <c r="J141" s="459"/>
    </row>
    <row r="142" spans="1:10" s="61" customFormat="1" x14ac:dyDescent="0.2">
      <c r="A142" s="457"/>
      <c r="B142" s="458"/>
      <c r="C142" s="458"/>
      <c r="D142" s="458"/>
      <c r="E142" s="458"/>
      <c r="F142" s="458"/>
      <c r="G142" s="458"/>
      <c r="H142" s="458"/>
      <c r="I142" s="458"/>
      <c r="J142" s="459"/>
    </row>
    <row r="143" spans="1:10" s="61" customFormat="1" x14ac:dyDescent="0.2">
      <c r="A143" s="457"/>
      <c r="B143" s="458"/>
      <c r="C143" s="458"/>
      <c r="D143" s="458"/>
      <c r="E143" s="458"/>
      <c r="F143" s="458"/>
      <c r="G143" s="458"/>
      <c r="H143" s="458"/>
      <c r="I143" s="458"/>
      <c r="J143" s="459"/>
    </row>
    <row r="144" spans="1:10" s="61" customFormat="1" x14ac:dyDescent="0.2">
      <c r="A144" s="457"/>
      <c r="B144" s="458"/>
      <c r="C144" s="458"/>
      <c r="D144" s="458"/>
      <c r="E144" s="458"/>
      <c r="F144" s="458"/>
      <c r="G144" s="458"/>
      <c r="H144" s="458"/>
      <c r="I144" s="458"/>
      <c r="J144" s="459"/>
    </row>
    <row r="145" spans="1:10" s="61" customFormat="1" x14ac:dyDescent="0.2">
      <c r="A145" s="55"/>
      <c r="B145" s="56"/>
      <c r="C145" s="57"/>
      <c r="D145" s="58"/>
      <c r="E145" s="58"/>
      <c r="F145" s="58"/>
      <c r="G145" s="58"/>
      <c r="H145" s="59"/>
      <c r="I145" s="57"/>
      <c r="J145" s="60"/>
    </row>
    <row r="146" spans="1:10" x14ac:dyDescent="0.2">
      <c r="A146" s="460" t="s">
        <v>529</v>
      </c>
      <c r="B146" s="461"/>
      <c r="C146" s="461"/>
      <c r="D146" s="461"/>
      <c r="E146" s="461"/>
      <c r="F146" s="461"/>
      <c r="G146" s="461"/>
      <c r="H146" s="461"/>
      <c r="I146" s="461"/>
      <c r="J146" s="462"/>
    </row>
    <row r="147" spans="1:10" x14ac:dyDescent="0.2">
      <c r="A147" s="463"/>
      <c r="B147" s="464"/>
      <c r="C147" s="464"/>
      <c r="D147" s="464"/>
      <c r="E147" s="464"/>
      <c r="F147" s="464"/>
      <c r="G147" s="464"/>
      <c r="H147" s="464"/>
      <c r="I147" s="464"/>
      <c r="J147" s="465"/>
    </row>
    <row r="148" spans="1:10" ht="12.75" customHeight="1" x14ac:dyDescent="0.2">
      <c r="A148" s="448" t="s">
        <v>530</v>
      </c>
      <c r="B148" s="449"/>
      <c r="C148" s="449"/>
      <c r="D148" s="449"/>
      <c r="E148" s="449"/>
      <c r="F148" s="449"/>
      <c r="G148" s="449"/>
      <c r="H148" s="449"/>
      <c r="I148" s="449"/>
      <c r="J148" s="450"/>
    </row>
    <row r="149" spans="1:10" ht="12.75" customHeight="1" x14ac:dyDescent="0.2">
      <c r="A149" s="451"/>
      <c r="B149" s="452"/>
      <c r="C149" s="452"/>
      <c r="D149" s="452"/>
      <c r="E149" s="452"/>
      <c r="F149" s="452"/>
      <c r="G149" s="452"/>
      <c r="H149" s="452"/>
      <c r="I149" s="452"/>
      <c r="J149" s="453"/>
    </row>
    <row r="150" spans="1:10" ht="12.75" customHeight="1" x14ac:dyDescent="0.2">
      <c r="A150" s="451"/>
      <c r="B150" s="452"/>
      <c r="C150" s="452"/>
      <c r="D150" s="452"/>
      <c r="E150" s="452"/>
      <c r="F150" s="452"/>
      <c r="G150" s="452"/>
      <c r="H150" s="452"/>
      <c r="I150" s="452"/>
      <c r="J150" s="453"/>
    </row>
    <row r="151" spans="1:10" ht="115.15" customHeight="1" x14ac:dyDescent="0.2">
      <c r="A151" s="454"/>
      <c r="B151" s="455"/>
      <c r="C151" s="455"/>
      <c r="D151" s="455"/>
      <c r="E151" s="455"/>
      <c r="F151" s="455"/>
      <c r="G151" s="455"/>
      <c r="H151" s="455"/>
      <c r="I151" s="455"/>
      <c r="J151" s="456"/>
    </row>
    <row r="152" spans="1:10" s="61" customFormat="1" ht="12.75" customHeight="1" x14ac:dyDescent="0.2">
      <c r="A152" s="475" t="s">
        <v>531</v>
      </c>
      <c r="B152" s="476"/>
      <c r="C152" s="476"/>
      <c r="D152" s="476"/>
      <c r="E152" s="476"/>
      <c r="F152" s="495"/>
      <c r="G152" s="495"/>
      <c r="H152" s="495"/>
      <c r="I152" s="495"/>
      <c r="J152" s="496"/>
    </row>
    <row r="153" spans="1:10" ht="12.75" customHeight="1" x14ac:dyDescent="0.2">
      <c r="A153" s="448" t="s">
        <v>343</v>
      </c>
      <c r="B153" s="449"/>
      <c r="C153" s="449"/>
      <c r="D153" s="449"/>
      <c r="E153" s="449"/>
      <c r="F153" s="449"/>
      <c r="G153" s="449"/>
      <c r="H153" s="449"/>
      <c r="I153" s="449"/>
      <c r="J153" s="450"/>
    </row>
    <row r="154" spans="1:10" ht="12.75" customHeight="1" x14ac:dyDescent="0.2">
      <c r="A154" s="451"/>
      <c r="B154" s="452"/>
      <c r="C154" s="452"/>
      <c r="D154" s="452"/>
      <c r="E154" s="452"/>
      <c r="F154" s="452"/>
      <c r="G154" s="452"/>
      <c r="H154" s="452"/>
      <c r="I154" s="452"/>
      <c r="J154" s="453"/>
    </row>
    <row r="155" spans="1:10" ht="12.75" customHeight="1" x14ac:dyDescent="0.2">
      <c r="A155" s="451"/>
      <c r="B155" s="452"/>
      <c r="C155" s="452"/>
      <c r="D155" s="452"/>
      <c r="E155" s="452"/>
      <c r="F155" s="452"/>
      <c r="G155" s="452"/>
      <c r="H155" s="452"/>
      <c r="I155" s="452"/>
      <c r="J155" s="453"/>
    </row>
    <row r="156" spans="1:10" ht="15" customHeight="1" x14ac:dyDescent="0.2">
      <c r="A156" s="454"/>
      <c r="B156" s="455"/>
      <c r="C156" s="455"/>
      <c r="D156" s="455"/>
      <c r="E156" s="455"/>
      <c r="F156" s="455"/>
      <c r="G156" s="455"/>
      <c r="H156" s="455"/>
      <c r="I156" s="455"/>
      <c r="J156" s="456"/>
    </row>
    <row r="157" spans="1:10" s="61" customFormat="1" ht="12.75" customHeight="1" x14ac:dyDescent="0.2">
      <c r="A157" s="489" t="s">
        <v>1051</v>
      </c>
      <c r="B157" s="490"/>
      <c r="C157" s="490"/>
      <c r="D157" s="490"/>
      <c r="E157" s="490"/>
      <c r="F157" s="490"/>
      <c r="G157" s="490"/>
      <c r="H157" s="490"/>
      <c r="I157" s="490"/>
      <c r="J157" s="491"/>
    </row>
    <row r="158" spans="1:10" s="61" customFormat="1" x14ac:dyDescent="0.2">
      <c r="A158" s="492"/>
      <c r="B158" s="493"/>
      <c r="C158" s="493"/>
      <c r="D158" s="493"/>
      <c r="E158" s="493"/>
      <c r="F158" s="493"/>
      <c r="G158" s="493"/>
      <c r="H158" s="493"/>
      <c r="I158" s="493"/>
      <c r="J158" s="494"/>
    </row>
    <row r="159" spans="1:10" s="61" customFormat="1" x14ac:dyDescent="0.2">
      <c r="A159" s="492"/>
      <c r="B159" s="493"/>
      <c r="C159" s="493"/>
      <c r="D159" s="493"/>
      <c r="E159" s="493"/>
      <c r="F159" s="493"/>
      <c r="G159" s="493"/>
      <c r="H159" s="493"/>
      <c r="I159" s="493"/>
      <c r="J159" s="494"/>
    </row>
    <row r="160" spans="1:10" s="61" customFormat="1" x14ac:dyDescent="0.2">
      <c r="A160" s="492"/>
      <c r="B160" s="493"/>
      <c r="C160" s="493"/>
      <c r="D160" s="493"/>
      <c r="E160" s="493"/>
      <c r="F160" s="493"/>
      <c r="G160" s="493"/>
      <c r="H160" s="493"/>
      <c r="I160" s="493"/>
      <c r="J160" s="494"/>
    </row>
    <row r="161" spans="1:10" s="61" customFormat="1" x14ac:dyDescent="0.2">
      <c r="A161" s="492"/>
      <c r="B161" s="493"/>
      <c r="C161" s="493"/>
      <c r="D161" s="493"/>
      <c r="E161" s="493"/>
      <c r="F161" s="493"/>
      <c r="G161" s="493"/>
      <c r="H161" s="493"/>
      <c r="I161" s="493"/>
      <c r="J161" s="494"/>
    </row>
    <row r="162" spans="1:10" s="61" customFormat="1" x14ac:dyDescent="0.2">
      <c r="A162" s="492"/>
      <c r="B162" s="493"/>
      <c r="C162" s="493"/>
      <c r="D162" s="493"/>
      <c r="E162" s="493"/>
      <c r="F162" s="493"/>
      <c r="G162" s="493"/>
      <c r="H162" s="493"/>
      <c r="I162" s="493"/>
      <c r="J162" s="494"/>
    </row>
    <row r="163" spans="1:10" s="61" customFormat="1" x14ac:dyDescent="0.2">
      <c r="A163" s="492"/>
      <c r="B163" s="493"/>
      <c r="C163" s="493"/>
      <c r="D163" s="493"/>
      <c r="E163" s="493"/>
      <c r="F163" s="493"/>
      <c r="G163" s="493"/>
      <c r="H163" s="493"/>
      <c r="I163" s="493"/>
      <c r="J163" s="494"/>
    </row>
    <row r="164" spans="1:10" s="61" customFormat="1" x14ac:dyDescent="0.2">
      <c r="A164" s="492"/>
      <c r="B164" s="493"/>
      <c r="C164" s="493"/>
      <c r="D164" s="493"/>
      <c r="E164" s="493"/>
      <c r="F164" s="493"/>
      <c r="G164" s="493"/>
      <c r="H164" s="493"/>
      <c r="I164" s="493"/>
      <c r="J164" s="494"/>
    </row>
    <row r="165" spans="1:10" s="61" customFormat="1" x14ac:dyDescent="0.2">
      <c r="A165" s="492"/>
      <c r="B165" s="493"/>
      <c r="C165" s="493"/>
      <c r="D165" s="493"/>
      <c r="E165" s="493"/>
      <c r="F165" s="493"/>
      <c r="G165" s="493"/>
      <c r="H165" s="493"/>
      <c r="I165" s="493"/>
      <c r="J165" s="494"/>
    </row>
    <row r="166" spans="1:10" s="61" customFormat="1" x14ac:dyDescent="0.2">
      <c r="A166" s="492"/>
      <c r="B166" s="493"/>
      <c r="C166" s="493"/>
      <c r="D166" s="493"/>
      <c r="E166" s="493"/>
      <c r="F166" s="493"/>
      <c r="G166" s="493"/>
      <c r="H166" s="493"/>
      <c r="I166" s="493"/>
      <c r="J166" s="494"/>
    </row>
    <row r="167" spans="1:10" s="61" customFormat="1" x14ac:dyDescent="0.2">
      <c r="A167" s="492"/>
      <c r="B167" s="493"/>
      <c r="C167" s="493"/>
      <c r="D167" s="493"/>
      <c r="E167" s="493"/>
      <c r="F167" s="493"/>
      <c r="G167" s="493"/>
      <c r="H167" s="493"/>
      <c r="I167" s="493"/>
      <c r="J167" s="494"/>
    </row>
    <row r="168" spans="1:10" s="61" customFormat="1" x14ac:dyDescent="0.2">
      <c r="A168" s="492"/>
      <c r="B168" s="493"/>
      <c r="C168" s="493"/>
      <c r="D168" s="493"/>
      <c r="E168" s="493"/>
      <c r="F168" s="493"/>
      <c r="G168" s="493"/>
      <c r="H168" s="493"/>
      <c r="I168" s="493"/>
      <c r="J168" s="494"/>
    </row>
    <row r="169" spans="1:10" s="61" customFormat="1" x14ac:dyDescent="0.2">
      <c r="A169" s="492"/>
      <c r="B169" s="493"/>
      <c r="C169" s="493"/>
      <c r="D169" s="493"/>
      <c r="E169" s="493"/>
      <c r="F169" s="493"/>
      <c r="G169" s="493"/>
      <c r="H169" s="493"/>
      <c r="I169" s="493"/>
      <c r="J169" s="494"/>
    </row>
    <row r="170" spans="1:10" ht="12.75" customHeight="1" x14ac:dyDescent="0.2">
      <c r="A170" s="492"/>
      <c r="B170" s="493"/>
      <c r="C170" s="493"/>
      <c r="D170" s="493"/>
      <c r="E170" s="493"/>
      <c r="F170" s="493"/>
      <c r="G170" s="493"/>
      <c r="H170" s="493"/>
      <c r="I170" s="493"/>
      <c r="J170" s="494"/>
    </row>
    <row r="171" spans="1:10" ht="12.75" customHeight="1" x14ac:dyDescent="0.2">
      <c r="A171" s="492"/>
      <c r="B171" s="493"/>
      <c r="C171" s="493"/>
      <c r="D171" s="493"/>
      <c r="E171" s="493"/>
      <c r="F171" s="493"/>
      <c r="G171" s="493"/>
      <c r="H171" s="493"/>
      <c r="I171" s="493"/>
      <c r="J171" s="494"/>
    </row>
    <row r="172" spans="1:10" ht="12.75" customHeight="1" x14ac:dyDescent="0.2">
      <c r="A172" s="492"/>
      <c r="B172" s="493"/>
      <c r="C172" s="493"/>
      <c r="D172" s="493"/>
      <c r="E172" s="493"/>
      <c r="F172" s="493"/>
      <c r="G172" s="493"/>
      <c r="H172" s="493"/>
      <c r="I172" s="493"/>
      <c r="J172" s="494"/>
    </row>
    <row r="173" spans="1:10" ht="15" customHeight="1" x14ac:dyDescent="0.2">
      <c r="A173" s="492"/>
      <c r="B173" s="493"/>
      <c r="C173" s="493"/>
      <c r="D173" s="493"/>
      <c r="E173" s="493"/>
      <c r="F173" s="493"/>
      <c r="G173" s="493"/>
      <c r="H173" s="493"/>
      <c r="I173" s="493"/>
      <c r="J173" s="494"/>
    </row>
    <row r="174" spans="1:10" s="61" customFormat="1" ht="12.75" customHeight="1" x14ac:dyDescent="0.2">
      <c r="A174" s="492"/>
      <c r="B174" s="493"/>
      <c r="C174" s="493"/>
      <c r="D174" s="493"/>
      <c r="E174" s="493"/>
      <c r="F174" s="493"/>
      <c r="G174" s="493"/>
      <c r="H174" s="493"/>
      <c r="I174" s="493"/>
      <c r="J174" s="494"/>
    </row>
    <row r="175" spans="1:10" s="61" customFormat="1" x14ac:dyDescent="0.2">
      <c r="A175" s="492"/>
      <c r="B175" s="493"/>
      <c r="C175" s="493"/>
      <c r="D175" s="493"/>
      <c r="E175" s="493"/>
      <c r="F175" s="493"/>
      <c r="G175" s="493"/>
      <c r="H175" s="493"/>
      <c r="I175" s="493"/>
      <c r="J175" s="494"/>
    </row>
    <row r="176" spans="1:10" s="61" customFormat="1" x14ac:dyDescent="0.2">
      <c r="A176" s="492"/>
      <c r="B176" s="493"/>
      <c r="C176" s="493"/>
      <c r="D176" s="493"/>
      <c r="E176" s="493"/>
      <c r="F176" s="493"/>
      <c r="G176" s="493"/>
      <c r="H176" s="493"/>
      <c r="I176" s="493"/>
      <c r="J176" s="494"/>
    </row>
    <row r="177" spans="1:10" s="61" customFormat="1" x14ac:dyDescent="0.2">
      <c r="A177" s="55"/>
      <c r="B177" s="56"/>
      <c r="C177" s="57"/>
      <c r="D177" s="58"/>
      <c r="E177" s="58"/>
      <c r="F177" s="58"/>
      <c r="G177" s="58"/>
      <c r="H177" s="59"/>
      <c r="I177" s="57"/>
      <c r="J177" s="60"/>
    </row>
    <row r="178" spans="1:10" x14ac:dyDescent="0.2">
      <c r="A178" s="460" t="s">
        <v>532</v>
      </c>
      <c r="B178" s="461"/>
      <c r="C178" s="461"/>
      <c r="D178" s="461"/>
      <c r="E178" s="461"/>
      <c r="F178" s="461"/>
      <c r="G178" s="461"/>
      <c r="H178" s="461"/>
      <c r="I178" s="461"/>
      <c r="J178" s="462"/>
    </row>
    <row r="179" spans="1:10" x14ac:dyDescent="0.2">
      <c r="A179" s="463"/>
      <c r="B179" s="464"/>
      <c r="C179" s="464"/>
      <c r="D179" s="464"/>
      <c r="E179" s="464"/>
      <c r="F179" s="464"/>
      <c r="G179" s="464"/>
      <c r="H179" s="464"/>
      <c r="I179" s="464"/>
      <c r="J179" s="465"/>
    </row>
    <row r="180" spans="1:10" ht="12.75" customHeight="1" x14ac:dyDescent="0.2">
      <c r="A180" s="448" t="s">
        <v>533</v>
      </c>
      <c r="B180" s="449"/>
      <c r="C180" s="449"/>
      <c r="D180" s="449"/>
      <c r="E180" s="449"/>
      <c r="F180" s="449"/>
      <c r="G180" s="449"/>
      <c r="H180" s="449"/>
      <c r="I180" s="449"/>
      <c r="J180" s="450"/>
    </row>
    <row r="181" spans="1:10" ht="12.75" customHeight="1" x14ac:dyDescent="0.2">
      <c r="A181" s="451"/>
      <c r="B181" s="452"/>
      <c r="C181" s="452"/>
      <c r="D181" s="452"/>
      <c r="E181" s="452"/>
      <c r="F181" s="452"/>
      <c r="G181" s="452"/>
      <c r="H181" s="452"/>
      <c r="I181" s="452"/>
      <c r="J181" s="453"/>
    </row>
    <row r="182" spans="1:10" ht="14.45" customHeight="1" x14ac:dyDescent="0.2">
      <c r="A182" s="451"/>
      <c r="B182" s="452"/>
      <c r="C182" s="452"/>
      <c r="D182" s="452"/>
      <c r="E182" s="452"/>
      <c r="F182" s="452"/>
      <c r="G182" s="452"/>
      <c r="H182" s="452"/>
      <c r="I182" s="452"/>
      <c r="J182" s="453"/>
    </row>
    <row r="183" spans="1:10" ht="79.900000000000006" customHeight="1" x14ac:dyDescent="0.2">
      <c r="A183" s="454"/>
      <c r="B183" s="455"/>
      <c r="C183" s="455"/>
      <c r="D183" s="455"/>
      <c r="E183" s="455"/>
      <c r="F183" s="455"/>
      <c r="G183" s="455"/>
      <c r="H183" s="455"/>
      <c r="I183" s="455"/>
      <c r="J183" s="456"/>
    </row>
    <row r="184" spans="1:10" s="61" customFormat="1" ht="12.75" customHeight="1" x14ac:dyDescent="0.2">
      <c r="A184" s="475" t="s">
        <v>536</v>
      </c>
      <c r="B184" s="476"/>
      <c r="C184" s="476"/>
      <c r="D184" s="476"/>
      <c r="E184" s="476"/>
      <c r="F184" s="497">
        <v>425703.65</v>
      </c>
      <c r="G184" s="495"/>
      <c r="H184" s="495"/>
      <c r="I184" s="495"/>
      <c r="J184" s="496"/>
    </row>
    <row r="185" spans="1:10" ht="12.75" customHeight="1" x14ac:dyDescent="0.2">
      <c r="A185" s="448" t="s">
        <v>343</v>
      </c>
      <c r="B185" s="449"/>
      <c r="C185" s="449"/>
      <c r="D185" s="449"/>
      <c r="E185" s="449"/>
      <c r="F185" s="449"/>
      <c r="G185" s="449"/>
      <c r="H185" s="449"/>
      <c r="I185" s="449"/>
      <c r="J185" s="450"/>
    </row>
    <row r="186" spans="1:10" ht="12.75" customHeight="1" x14ac:dyDescent="0.2">
      <c r="A186" s="451"/>
      <c r="B186" s="452"/>
      <c r="C186" s="452"/>
      <c r="D186" s="452"/>
      <c r="E186" s="452"/>
      <c r="F186" s="452"/>
      <c r="G186" s="452"/>
      <c r="H186" s="452"/>
      <c r="I186" s="452"/>
      <c r="J186" s="453"/>
    </row>
    <row r="187" spans="1:10" ht="12.75" customHeight="1" x14ac:dyDescent="0.2">
      <c r="A187" s="451"/>
      <c r="B187" s="452"/>
      <c r="C187" s="452"/>
      <c r="D187" s="452"/>
      <c r="E187" s="452"/>
      <c r="F187" s="452"/>
      <c r="G187" s="452"/>
      <c r="H187" s="452"/>
      <c r="I187" s="452"/>
      <c r="J187" s="453"/>
    </row>
    <row r="188" spans="1:10" ht="15" customHeight="1" x14ac:dyDescent="0.2">
      <c r="A188" s="454"/>
      <c r="B188" s="455"/>
      <c r="C188" s="455"/>
      <c r="D188" s="455"/>
      <c r="E188" s="455"/>
      <c r="F188" s="455"/>
      <c r="G188" s="455"/>
      <c r="H188" s="455"/>
      <c r="I188" s="455"/>
      <c r="J188" s="456"/>
    </row>
    <row r="189" spans="1:10" s="61" customFormat="1" ht="12.75" customHeight="1" x14ac:dyDescent="0.2">
      <c r="A189" s="564" t="s">
        <v>1092</v>
      </c>
      <c r="B189" s="565"/>
      <c r="C189" s="565"/>
      <c r="D189" s="565"/>
      <c r="E189" s="565"/>
      <c r="F189" s="565"/>
      <c r="G189" s="565"/>
      <c r="H189" s="565"/>
      <c r="I189" s="565"/>
      <c r="J189" s="566"/>
    </row>
    <row r="190" spans="1:10" s="61" customFormat="1" x14ac:dyDescent="0.2">
      <c r="A190" s="567"/>
      <c r="B190" s="568"/>
      <c r="C190" s="568"/>
      <c r="D190" s="568"/>
      <c r="E190" s="568"/>
      <c r="F190" s="568"/>
      <c r="G190" s="568"/>
      <c r="H190" s="568"/>
      <c r="I190" s="568"/>
      <c r="J190" s="569"/>
    </row>
    <row r="191" spans="1:10" s="61" customFormat="1" x14ac:dyDescent="0.2">
      <c r="A191" s="567"/>
      <c r="B191" s="568"/>
      <c r="C191" s="568"/>
      <c r="D191" s="568"/>
      <c r="E191" s="568"/>
      <c r="F191" s="568"/>
      <c r="G191" s="568"/>
      <c r="H191" s="568"/>
      <c r="I191" s="568"/>
      <c r="J191" s="569"/>
    </row>
    <row r="192" spans="1:10" s="61" customFormat="1" x14ac:dyDescent="0.2">
      <c r="A192" s="567"/>
      <c r="B192" s="568"/>
      <c r="C192" s="568"/>
      <c r="D192" s="568"/>
      <c r="E192" s="568"/>
      <c r="F192" s="568"/>
      <c r="G192" s="568"/>
      <c r="H192" s="568"/>
      <c r="I192" s="568"/>
      <c r="J192" s="569"/>
    </row>
    <row r="193" spans="1:10" s="61" customFormat="1" x14ac:dyDescent="0.2">
      <c r="A193" s="567"/>
      <c r="B193" s="568"/>
      <c r="C193" s="568"/>
      <c r="D193" s="568"/>
      <c r="E193" s="568"/>
      <c r="F193" s="568"/>
      <c r="G193" s="568"/>
      <c r="H193" s="568"/>
      <c r="I193" s="568"/>
      <c r="J193" s="569"/>
    </row>
    <row r="194" spans="1:10" s="61" customFormat="1" x14ac:dyDescent="0.2">
      <c r="A194" s="567"/>
      <c r="B194" s="568"/>
      <c r="C194" s="568"/>
      <c r="D194" s="568"/>
      <c r="E194" s="568"/>
      <c r="F194" s="568"/>
      <c r="G194" s="568"/>
      <c r="H194" s="568"/>
      <c r="I194" s="568"/>
      <c r="J194" s="569"/>
    </row>
    <row r="195" spans="1:10" s="61" customFormat="1" x14ac:dyDescent="0.2">
      <c r="A195" s="567"/>
      <c r="B195" s="568"/>
      <c r="C195" s="568"/>
      <c r="D195" s="568"/>
      <c r="E195" s="568"/>
      <c r="F195" s="568"/>
      <c r="G195" s="568"/>
      <c r="H195" s="568"/>
      <c r="I195" s="568"/>
      <c r="J195" s="569"/>
    </row>
    <row r="196" spans="1:10" s="61" customFormat="1" x14ac:dyDescent="0.2">
      <c r="A196" s="567"/>
      <c r="B196" s="568"/>
      <c r="C196" s="568"/>
      <c r="D196" s="568"/>
      <c r="E196" s="568"/>
      <c r="F196" s="568"/>
      <c r="G196" s="568"/>
      <c r="H196" s="568"/>
      <c r="I196" s="568"/>
      <c r="J196" s="569"/>
    </row>
    <row r="197" spans="1:10" s="61" customFormat="1" x14ac:dyDescent="0.2">
      <c r="A197" s="567"/>
      <c r="B197" s="568"/>
      <c r="C197" s="568"/>
      <c r="D197" s="568"/>
      <c r="E197" s="568"/>
      <c r="F197" s="568"/>
      <c r="G197" s="568"/>
      <c r="H197" s="568"/>
      <c r="I197" s="568"/>
      <c r="J197" s="569"/>
    </row>
    <row r="198" spans="1:10" s="61" customFormat="1" x14ac:dyDescent="0.2">
      <c r="A198" s="567"/>
      <c r="B198" s="568"/>
      <c r="C198" s="568"/>
      <c r="D198" s="568"/>
      <c r="E198" s="568"/>
      <c r="F198" s="568"/>
      <c r="G198" s="568"/>
      <c r="H198" s="568"/>
      <c r="I198" s="568"/>
      <c r="J198" s="569"/>
    </row>
    <row r="199" spans="1:10" s="61" customFormat="1" x14ac:dyDescent="0.2">
      <c r="A199" s="567"/>
      <c r="B199" s="568"/>
      <c r="C199" s="568"/>
      <c r="D199" s="568"/>
      <c r="E199" s="568"/>
      <c r="F199" s="568"/>
      <c r="G199" s="568"/>
      <c r="H199" s="568"/>
      <c r="I199" s="568"/>
      <c r="J199" s="569"/>
    </row>
    <row r="200" spans="1:10" s="61" customFormat="1" x14ac:dyDescent="0.2">
      <c r="A200" s="567"/>
      <c r="B200" s="568"/>
      <c r="C200" s="568"/>
      <c r="D200" s="568"/>
      <c r="E200" s="568"/>
      <c r="F200" s="568"/>
      <c r="G200" s="568"/>
      <c r="H200" s="568"/>
      <c r="I200" s="568"/>
      <c r="J200" s="569"/>
    </row>
    <row r="201" spans="1:10" s="61" customFormat="1" x14ac:dyDescent="0.2">
      <c r="A201" s="567"/>
      <c r="B201" s="568"/>
      <c r="C201" s="568"/>
      <c r="D201" s="568"/>
      <c r="E201" s="568"/>
      <c r="F201" s="568"/>
      <c r="G201" s="568"/>
      <c r="H201" s="568"/>
      <c r="I201" s="568"/>
      <c r="J201" s="569"/>
    </row>
    <row r="202" spans="1:10" ht="12.75" customHeight="1" x14ac:dyDescent="0.2">
      <c r="A202" s="567"/>
      <c r="B202" s="568"/>
      <c r="C202" s="568"/>
      <c r="D202" s="568"/>
      <c r="E202" s="568"/>
      <c r="F202" s="568"/>
      <c r="G202" s="568"/>
      <c r="H202" s="568"/>
      <c r="I202" s="568"/>
      <c r="J202" s="569"/>
    </row>
    <row r="203" spans="1:10" ht="12.75" customHeight="1" x14ac:dyDescent="0.2">
      <c r="A203" s="567"/>
      <c r="B203" s="568"/>
      <c r="C203" s="568"/>
      <c r="D203" s="568"/>
      <c r="E203" s="568"/>
      <c r="F203" s="568"/>
      <c r="G203" s="568"/>
      <c r="H203" s="568"/>
      <c r="I203" s="568"/>
      <c r="J203" s="569"/>
    </row>
    <row r="204" spans="1:10" ht="12.75" customHeight="1" x14ac:dyDescent="0.2">
      <c r="A204" s="567"/>
      <c r="B204" s="568"/>
      <c r="C204" s="568"/>
      <c r="D204" s="568"/>
      <c r="E204" s="568"/>
      <c r="F204" s="568"/>
      <c r="G204" s="568"/>
      <c r="H204" s="568"/>
      <c r="I204" s="568"/>
      <c r="J204" s="569"/>
    </row>
    <row r="205" spans="1:10" ht="15" customHeight="1" x14ac:dyDescent="0.2">
      <c r="A205" s="567"/>
      <c r="B205" s="568"/>
      <c r="C205" s="568"/>
      <c r="D205" s="568"/>
      <c r="E205" s="568"/>
      <c r="F205" s="568"/>
      <c r="G205" s="568"/>
      <c r="H205" s="568"/>
      <c r="I205" s="568"/>
      <c r="J205" s="569"/>
    </row>
    <row r="206" spans="1:10" s="61" customFormat="1" ht="12.75" customHeight="1" x14ac:dyDescent="0.2">
      <c r="A206" s="567"/>
      <c r="B206" s="568"/>
      <c r="C206" s="568"/>
      <c r="D206" s="568"/>
      <c r="E206" s="568"/>
      <c r="F206" s="568"/>
      <c r="G206" s="568"/>
      <c r="H206" s="568"/>
      <c r="I206" s="568"/>
      <c r="J206" s="569"/>
    </row>
    <row r="207" spans="1:10" s="61" customFormat="1" x14ac:dyDescent="0.2">
      <c r="A207" s="567"/>
      <c r="B207" s="568"/>
      <c r="C207" s="568"/>
      <c r="D207" s="568"/>
      <c r="E207" s="568"/>
      <c r="F207" s="568"/>
      <c r="G207" s="568"/>
      <c r="H207" s="568"/>
      <c r="I207" s="568"/>
      <c r="J207" s="569"/>
    </row>
    <row r="208" spans="1:10" s="61" customFormat="1" x14ac:dyDescent="0.2">
      <c r="A208" s="567"/>
      <c r="B208" s="568"/>
      <c r="C208" s="568"/>
      <c r="D208" s="568"/>
      <c r="E208" s="568"/>
      <c r="F208" s="568"/>
      <c r="G208" s="568"/>
      <c r="H208" s="568"/>
      <c r="I208" s="568"/>
      <c r="J208" s="569"/>
    </row>
    <row r="209" spans="1:10" s="61" customFormat="1" x14ac:dyDescent="0.2">
      <c r="A209" s="55"/>
      <c r="B209" s="56"/>
      <c r="C209" s="57"/>
      <c r="D209" s="58"/>
      <c r="E209" s="58"/>
      <c r="F209" s="58"/>
      <c r="G209" s="58"/>
      <c r="H209" s="59"/>
      <c r="I209" s="57"/>
      <c r="J209" s="60"/>
    </row>
    <row r="210" spans="1:10" ht="12.75" customHeight="1" x14ac:dyDescent="0.2">
      <c r="A210" s="460" t="s">
        <v>534</v>
      </c>
      <c r="B210" s="461"/>
      <c r="C210" s="461"/>
      <c r="D210" s="461"/>
      <c r="E210" s="461"/>
      <c r="F210" s="461"/>
      <c r="G210" s="461"/>
      <c r="H210" s="461"/>
      <c r="I210" s="461"/>
      <c r="J210" s="462"/>
    </row>
    <row r="211" spans="1:10" x14ac:dyDescent="0.2">
      <c r="A211" s="463"/>
      <c r="B211" s="464"/>
      <c r="C211" s="464"/>
      <c r="D211" s="464"/>
      <c r="E211" s="464"/>
      <c r="F211" s="464"/>
      <c r="G211" s="464"/>
      <c r="H211" s="464"/>
      <c r="I211" s="464"/>
      <c r="J211" s="465"/>
    </row>
    <row r="212" spans="1:10" ht="15" customHeight="1" x14ac:dyDescent="0.2">
      <c r="A212" s="448" t="s">
        <v>535</v>
      </c>
      <c r="B212" s="449"/>
      <c r="C212" s="449"/>
      <c r="D212" s="449"/>
      <c r="E212" s="449"/>
      <c r="F212" s="449"/>
      <c r="G212" s="449"/>
      <c r="H212" s="449"/>
      <c r="I212" s="449"/>
      <c r="J212" s="450"/>
    </row>
    <row r="213" spans="1:10" ht="12.75" customHeight="1" x14ac:dyDescent="0.2">
      <c r="A213" s="451"/>
      <c r="B213" s="452"/>
      <c r="C213" s="452"/>
      <c r="D213" s="452"/>
      <c r="E213" s="452"/>
      <c r="F213" s="452"/>
      <c r="G213" s="452"/>
      <c r="H213" s="452"/>
      <c r="I213" s="452"/>
      <c r="J213" s="453"/>
    </row>
    <row r="214" spans="1:10" ht="12.75" customHeight="1" x14ac:dyDescent="0.2">
      <c r="A214" s="451"/>
      <c r="B214" s="452"/>
      <c r="C214" s="452"/>
      <c r="D214" s="452"/>
      <c r="E214" s="452"/>
      <c r="F214" s="452"/>
      <c r="G214" s="452"/>
      <c r="H214" s="452"/>
      <c r="I214" s="452"/>
      <c r="J214" s="453"/>
    </row>
    <row r="215" spans="1:10" ht="40.9" customHeight="1" x14ac:dyDescent="0.2">
      <c r="A215" s="454"/>
      <c r="B215" s="455"/>
      <c r="C215" s="455"/>
      <c r="D215" s="455"/>
      <c r="E215" s="455"/>
      <c r="F215" s="455"/>
      <c r="G215" s="455"/>
      <c r="H215" s="455"/>
      <c r="I215" s="455"/>
      <c r="J215" s="456"/>
    </row>
    <row r="216" spans="1:10" s="61" customFormat="1" ht="12.75" customHeight="1" x14ac:dyDescent="0.2">
      <c r="A216" s="475" t="s">
        <v>537</v>
      </c>
      <c r="B216" s="476"/>
      <c r="C216" s="476"/>
      <c r="D216" s="476"/>
      <c r="E216" s="476"/>
      <c r="F216" s="495">
        <v>112783.06</v>
      </c>
      <c r="G216" s="495"/>
      <c r="H216" s="495"/>
      <c r="I216" s="495"/>
      <c r="J216" s="496"/>
    </row>
    <row r="217" spans="1:10" ht="12.75" customHeight="1" x14ac:dyDescent="0.2">
      <c r="A217" s="448" t="s">
        <v>343</v>
      </c>
      <c r="B217" s="449"/>
      <c r="C217" s="449"/>
      <c r="D217" s="449"/>
      <c r="E217" s="449"/>
      <c r="F217" s="449"/>
      <c r="G217" s="449"/>
      <c r="H217" s="449"/>
      <c r="I217" s="449"/>
      <c r="J217" s="450"/>
    </row>
    <row r="218" spans="1:10" ht="12.75" customHeight="1" x14ac:dyDescent="0.2">
      <c r="A218" s="451"/>
      <c r="B218" s="452"/>
      <c r="C218" s="452"/>
      <c r="D218" s="452"/>
      <c r="E218" s="452"/>
      <c r="F218" s="452"/>
      <c r="G218" s="452"/>
      <c r="H218" s="452"/>
      <c r="I218" s="452"/>
      <c r="J218" s="453"/>
    </row>
    <row r="219" spans="1:10" ht="12.75" customHeight="1" x14ac:dyDescent="0.2">
      <c r="A219" s="451"/>
      <c r="B219" s="452"/>
      <c r="C219" s="452"/>
      <c r="D219" s="452"/>
      <c r="E219" s="452"/>
      <c r="F219" s="452"/>
      <c r="G219" s="452"/>
      <c r="H219" s="452"/>
      <c r="I219" s="452"/>
      <c r="J219" s="453"/>
    </row>
    <row r="220" spans="1:10" ht="15" customHeight="1" x14ac:dyDescent="0.2">
      <c r="A220" s="454"/>
      <c r="B220" s="455"/>
      <c r="C220" s="455"/>
      <c r="D220" s="455"/>
      <c r="E220" s="455"/>
      <c r="F220" s="455"/>
      <c r="G220" s="455"/>
      <c r="H220" s="455"/>
      <c r="I220" s="455"/>
      <c r="J220" s="456"/>
    </row>
    <row r="221" spans="1:10" s="61" customFormat="1" ht="12.75" customHeight="1" x14ac:dyDescent="0.2">
      <c r="A221" s="564" t="s">
        <v>1093</v>
      </c>
      <c r="B221" s="565"/>
      <c r="C221" s="565"/>
      <c r="D221" s="565"/>
      <c r="E221" s="565"/>
      <c r="F221" s="565"/>
      <c r="G221" s="565"/>
      <c r="H221" s="565"/>
      <c r="I221" s="565"/>
      <c r="J221" s="566"/>
    </row>
    <row r="222" spans="1:10" s="61" customFormat="1" x14ac:dyDescent="0.2">
      <c r="A222" s="567"/>
      <c r="B222" s="568"/>
      <c r="C222" s="568"/>
      <c r="D222" s="568"/>
      <c r="E222" s="568"/>
      <c r="F222" s="568"/>
      <c r="G222" s="568"/>
      <c r="H222" s="568"/>
      <c r="I222" s="568"/>
      <c r="J222" s="569"/>
    </row>
    <row r="223" spans="1:10" s="61" customFormat="1" x14ac:dyDescent="0.2">
      <c r="A223" s="567"/>
      <c r="B223" s="568"/>
      <c r="C223" s="568"/>
      <c r="D223" s="568"/>
      <c r="E223" s="568"/>
      <c r="F223" s="568"/>
      <c r="G223" s="568"/>
      <c r="H223" s="568"/>
      <c r="I223" s="568"/>
      <c r="J223" s="569"/>
    </row>
    <row r="224" spans="1:10" s="61" customFormat="1" x14ac:dyDescent="0.2">
      <c r="A224" s="567"/>
      <c r="B224" s="568"/>
      <c r="C224" s="568"/>
      <c r="D224" s="568"/>
      <c r="E224" s="568"/>
      <c r="F224" s="568"/>
      <c r="G224" s="568"/>
      <c r="H224" s="568"/>
      <c r="I224" s="568"/>
      <c r="J224" s="569"/>
    </row>
    <row r="225" spans="1:10" s="61" customFormat="1" x14ac:dyDescent="0.2">
      <c r="A225" s="567"/>
      <c r="B225" s="568"/>
      <c r="C225" s="568"/>
      <c r="D225" s="568"/>
      <c r="E225" s="568"/>
      <c r="F225" s="568"/>
      <c r="G225" s="568"/>
      <c r="H225" s="568"/>
      <c r="I225" s="568"/>
      <c r="J225" s="569"/>
    </row>
    <row r="226" spans="1:10" s="61" customFormat="1" x14ac:dyDescent="0.2">
      <c r="A226" s="567"/>
      <c r="B226" s="568"/>
      <c r="C226" s="568"/>
      <c r="D226" s="568"/>
      <c r="E226" s="568"/>
      <c r="F226" s="568"/>
      <c r="G226" s="568"/>
      <c r="H226" s="568"/>
      <c r="I226" s="568"/>
      <c r="J226" s="569"/>
    </row>
    <row r="227" spans="1:10" s="61" customFormat="1" x14ac:dyDescent="0.2">
      <c r="A227" s="567"/>
      <c r="B227" s="568"/>
      <c r="C227" s="568"/>
      <c r="D227" s="568"/>
      <c r="E227" s="568"/>
      <c r="F227" s="568"/>
      <c r="G227" s="568"/>
      <c r="H227" s="568"/>
      <c r="I227" s="568"/>
      <c r="J227" s="569"/>
    </row>
    <row r="228" spans="1:10" s="61" customFormat="1" x14ac:dyDescent="0.2">
      <c r="A228" s="567"/>
      <c r="B228" s="568"/>
      <c r="C228" s="568"/>
      <c r="D228" s="568"/>
      <c r="E228" s="568"/>
      <c r="F228" s="568"/>
      <c r="G228" s="568"/>
      <c r="H228" s="568"/>
      <c r="I228" s="568"/>
      <c r="J228" s="569"/>
    </row>
    <row r="229" spans="1:10" s="61" customFormat="1" x14ac:dyDescent="0.2">
      <c r="A229" s="567"/>
      <c r="B229" s="568"/>
      <c r="C229" s="568"/>
      <c r="D229" s="568"/>
      <c r="E229" s="568"/>
      <c r="F229" s="568"/>
      <c r="G229" s="568"/>
      <c r="H229" s="568"/>
      <c r="I229" s="568"/>
      <c r="J229" s="569"/>
    </row>
    <row r="230" spans="1:10" s="61" customFormat="1" x14ac:dyDescent="0.2">
      <c r="A230" s="567"/>
      <c r="B230" s="568"/>
      <c r="C230" s="568"/>
      <c r="D230" s="568"/>
      <c r="E230" s="568"/>
      <c r="F230" s="568"/>
      <c r="G230" s="568"/>
      <c r="H230" s="568"/>
      <c r="I230" s="568"/>
      <c r="J230" s="569"/>
    </row>
    <row r="231" spans="1:10" s="61" customFormat="1" x14ac:dyDescent="0.2">
      <c r="A231" s="567"/>
      <c r="B231" s="568"/>
      <c r="C231" s="568"/>
      <c r="D231" s="568"/>
      <c r="E231" s="568"/>
      <c r="F231" s="568"/>
      <c r="G231" s="568"/>
      <c r="H231" s="568"/>
      <c r="I231" s="568"/>
      <c r="J231" s="569"/>
    </row>
    <row r="232" spans="1:10" s="61" customFormat="1" x14ac:dyDescent="0.2">
      <c r="A232" s="567"/>
      <c r="B232" s="568"/>
      <c r="C232" s="568"/>
      <c r="D232" s="568"/>
      <c r="E232" s="568"/>
      <c r="F232" s="568"/>
      <c r="G232" s="568"/>
      <c r="H232" s="568"/>
      <c r="I232" s="568"/>
      <c r="J232" s="569"/>
    </row>
    <row r="233" spans="1:10" s="61" customFormat="1" x14ac:dyDescent="0.2">
      <c r="A233" s="567"/>
      <c r="B233" s="568"/>
      <c r="C233" s="568"/>
      <c r="D233" s="568"/>
      <c r="E233" s="568"/>
      <c r="F233" s="568"/>
      <c r="G233" s="568"/>
      <c r="H233" s="568"/>
      <c r="I233" s="568"/>
      <c r="J233" s="569"/>
    </row>
    <row r="234" spans="1:10" s="61" customFormat="1" ht="12.75" customHeight="1" x14ac:dyDescent="0.2">
      <c r="A234" s="567"/>
      <c r="B234" s="568"/>
      <c r="C234" s="568"/>
      <c r="D234" s="568"/>
      <c r="E234" s="568"/>
      <c r="F234" s="568"/>
      <c r="G234" s="568"/>
      <c r="H234" s="568"/>
      <c r="I234" s="568"/>
      <c r="J234" s="569"/>
    </row>
    <row r="235" spans="1:10" s="61" customFormat="1" x14ac:dyDescent="0.2">
      <c r="A235" s="567"/>
      <c r="B235" s="568"/>
      <c r="C235" s="568"/>
      <c r="D235" s="568"/>
      <c r="E235" s="568"/>
      <c r="F235" s="568"/>
      <c r="G235" s="568"/>
      <c r="H235" s="568"/>
      <c r="I235" s="568"/>
      <c r="J235" s="569"/>
    </row>
    <row r="236" spans="1:10" s="61" customFormat="1" x14ac:dyDescent="0.2">
      <c r="A236" s="567"/>
      <c r="B236" s="568"/>
      <c r="C236" s="568"/>
      <c r="D236" s="568"/>
      <c r="E236" s="568"/>
      <c r="F236" s="568"/>
      <c r="G236" s="568"/>
      <c r="H236" s="568"/>
      <c r="I236" s="568"/>
      <c r="J236" s="569"/>
    </row>
    <row r="237" spans="1:10" s="61" customFormat="1" x14ac:dyDescent="0.2">
      <c r="A237" s="567"/>
      <c r="B237" s="568"/>
      <c r="C237" s="568"/>
      <c r="D237" s="568"/>
      <c r="E237" s="568"/>
      <c r="F237" s="568"/>
      <c r="G237" s="568"/>
      <c r="H237" s="568"/>
      <c r="I237" s="568"/>
      <c r="J237" s="569"/>
    </row>
    <row r="238" spans="1:10" s="61" customFormat="1" x14ac:dyDescent="0.2">
      <c r="A238" s="567"/>
      <c r="B238" s="568"/>
      <c r="C238" s="568"/>
      <c r="D238" s="568"/>
      <c r="E238" s="568"/>
      <c r="F238" s="568"/>
      <c r="G238" s="568"/>
      <c r="H238" s="568"/>
      <c r="I238" s="568"/>
      <c r="J238" s="569"/>
    </row>
    <row r="239" spans="1:10" s="61" customFormat="1" x14ac:dyDescent="0.2">
      <c r="A239" s="567"/>
      <c r="B239" s="568"/>
      <c r="C239" s="568"/>
      <c r="D239" s="568"/>
      <c r="E239" s="568"/>
      <c r="F239" s="568"/>
      <c r="G239" s="568"/>
      <c r="H239" s="568"/>
      <c r="I239" s="568"/>
      <c r="J239" s="569"/>
    </row>
    <row r="240" spans="1:10" s="61" customFormat="1" ht="13.5" thickBot="1" x14ac:dyDescent="0.25">
      <c r="A240" s="570"/>
      <c r="B240" s="571"/>
      <c r="C240" s="571"/>
      <c r="D240" s="571"/>
      <c r="E240" s="571"/>
      <c r="F240" s="571"/>
      <c r="G240" s="571"/>
      <c r="H240" s="571"/>
      <c r="I240" s="571"/>
      <c r="J240" s="572"/>
    </row>
    <row r="241" spans="1:10" ht="13.5" thickTop="1" x14ac:dyDescent="0.2">
      <c r="A241" s="498" t="s">
        <v>588</v>
      </c>
      <c r="B241" s="499"/>
      <c r="C241" s="499"/>
      <c r="D241" s="499"/>
      <c r="E241" s="499"/>
      <c r="F241" s="499"/>
      <c r="G241" s="499"/>
      <c r="H241" s="499"/>
      <c r="I241" s="499"/>
      <c r="J241" s="500"/>
    </row>
    <row r="242" spans="1:10" x14ac:dyDescent="0.2">
      <c r="A242" s="501"/>
      <c r="B242" s="502"/>
      <c r="C242" s="502"/>
      <c r="D242" s="502"/>
      <c r="E242" s="502"/>
      <c r="F242" s="502"/>
      <c r="G242" s="502"/>
      <c r="H242" s="502"/>
      <c r="I242" s="502"/>
      <c r="J242" s="503"/>
    </row>
    <row r="243" spans="1:10" ht="21.6" customHeight="1" x14ac:dyDescent="0.2">
      <c r="A243" s="504" t="s">
        <v>555</v>
      </c>
      <c r="B243" s="505"/>
      <c r="C243" s="505"/>
      <c r="D243" s="505"/>
      <c r="E243" s="505"/>
      <c r="F243" s="505"/>
      <c r="G243" s="505"/>
      <c r="H243" s="505"/>
      <c r="I243" s="505"/>
      <c r="J243" s="506"/>
    </row>
    <row r="244" spans="1:10" ht="54" customHeight="1" x14ac:dyDescent="0.2">
      <c r="A244" s="507"/>
      <c r="B244" s="508"/>
      <c r="C244" s="508"/>
      <c r="D244" s="508"/>
      <c r="E244" s="508"/>
      <c r="F244" s="508"/>
      <c r="G244" s="508"/>
      <c r="H244" s="508"/>
      <c r="I244" s="508"/>
      <c r="J244" s="509"/>
    </row>
    <row r="245" spans="1:10" x14ac:dyDescent="0.2">
      <c r="A245" s="510"/>
      <c r="B245" s="511"/>
      <c r="C245" s="511"/>
      <c r="D245" s="511"/>
      <c r="E245" s="511"/>
      <c r="F245" s="511"/>
      <c r="G245" s="511"/>
      <c r="H245" s="511"/>
      <c r="I245" s="511"/>
      <c r="J245" s="512"/>
    </row>
    <row r="246" spans="1:10" x14ac:dyDescent="0.2">
      <c r="A246" s="175"/>
      <c r="B246" s="176"/>
      <c r="C246" s="177"/>
      <c r="D246" s="173"/>
      <c r="E246" s="173"/>
      <c r="F246" s="173"/>
      <c r="G246" s="173"/>
      <c r="H246" s="178"/>
      <c r="I246" s="177"/>
      <c r="J246" s="174"/>
    </row>
    <row r="247" spans="1:10" x14ac:dyDescent="0.2">
      <c r="A247" s="521" t="s">
        <v>539</v>
      </c>
      <c r="B247" s="522"/>
      <c r="C247" s="522"/>
      <c r="D247" s="522"/>
      <c r="E247" s="522"/>
      <c r="F247" s="522"/>
      <c r="G247" s="522"/>
      <c r="H247" s="522"/>
      <c r="I247" s="522"/>
      <c r="J247" s="523"/>
    </row>
    <row r="248" spans="1:10" x14ac:dyDescent="0.2">
      <c r="A248" s="524"/>
      <c r="B248" s="525"/>
      <c r="C248" s="525"/>
      <c r="D248" s="525"/>
      <c r="E248" s="525"/>
      <c r="F248" s="525"/>
      <c r="G248" s="525"/>
      <c r="H248" s="525"/>
      <c r="I248" s="525"/>
      <c r="J248" s="526"/>
    </row>
    <row r="249" spans="1:10" x14ac:dyDescent="0.2">
      <c r="A249" s="527" t="s">
        <v>538</v>
      </c>
      <c r="B249" s="528"/>
      <c r="C249" s="528"/>
      <c r="D249" s="528"/>
      <c r="E249" s="528"/>
      <c r="F249" s="528"/>
      <c r="G249" s="528"/>
      <c r="H249" s="528"/>
      <c r="I249" s="528"/>
      <c r="J249" s="529"/>
    </row>
    <row r="250" spans="1:10" x14ac:dyDescent="0.2">
      <c r="A250" s="530"/>
      <c r="B250" s="531"/>
      <c r="C250" s="531"/>
      <c r="D250" s="531"/>
      <c r="E250" s="531"/>
      <c r="F250" s="531"/>
      <c r="G250" s="531"/>
      <c r="H250" s="531"/>
      <c r="I250" s="531"/>
      <c r="J250" s="532"/>
    </row>
    <row r="251" spans="1:10" x14ac:dyDescent="0.2">
      <c r="A251" s="530"/>
      <c r="B251" s="531"/>
      <c r="C251" s="531"/>
      <c r="D251" s="531"/>
      <c r="E251" s="531"/>
      <c r="F251" s="531"/>
      <c r="G251" s="531"/>
      <c r="H251" s="531"/>
      <c r="I251" s="531"/>
      <c r="J251" s="532"/>
    </row>
    <row r="252" spans="1:10" ht="71.45" customHeight="1" x14ac:dyDescent="0.2">
      <c r="A252" s="533"/>
      <c r="B252" s="534"/>
      <c r="C252" s="534"/>
      <c r="D252" s="534"/>
      <c r="E252" s="534"/>
      <c r="F252" s="534"/>
      <c r="G252" s="534"/>
      <c r="H252" s="534"/>
      <c r="I252" s="534"/>
      <c r="J252" s="535"/>
    </row>
    <row r="253" spans="1:10" x14ac:dyDescent="0.2">
      <c r="A253" s="475" t="s">
        <v>552</v>
      </c>
      <c r="B253" s="476"/>
      <c r="C253" s="476"/>
      <c r="D253" s="476"/>
      <c r="E253" s="476"/>
      <c r="F253" s="484"/>
      <c r="G253" s="484"/>
      <c r="H253" s="484"/>
      <c r="I253" s="484"/>
      <c r="J253" s="485"/>
    </row>
    <row r="254" spans="1:10" x14ac:dyDescent="0.2">
      <c r="A254" s="527" t="s">
        <v>540</v>
      </c>
      <c r="B254" s="528"/>
      <c r="C254" s="528"/>
      <c r="D254" s="528"/>
      <c r="E254" s="528"/>
      <c r="F254" s="528"/>
      <c r="G254" s="528"/>
      <c r="H254" s="528"/>
      <c r="I254" s="528"/>
      <c r="J254" s="529"/>
    </row>
    <row r="255" spans="1:10" x14ac:dyDescent="0.2">
      <c r="A255" s="530"/>
      <c r="B255" s="531"/>
      <c r="C255" s="531"/>
      <c r="D255" s="531"/>
      <c r="E255" s="531"/>
      <c r="F255" s="531"/>
      <c r="G255" s="531"/>
      <c r="H255" s="531"/>
      <c r="I255" s="531"/>
      <c r="J255" s="532"/>
    </row>
    <row r="256" spans="1:10" x14ac:dyDescent="0.2">
      <c r="A256" s="530"/>
      <c r="B256" s="531"/>
      <c r="C256" s="531"/>
      <c r="D256" s="531"/>
      <c r="E256" s="531"/>
      <c r="F256" s="531"/>
      <c r="G256" s="531"/>
      <c r="H256" s="531"/>
      <c r="I256" s="531"/>
      <c r="J256" s="532"/>
    </row>
    <row r="257" spans="1:10" x14ac:dyDescent="0.2">
      <c r="A257" s="530"/>
      <c r="B257" s="531"/>
      <c r="C257" s="531"/>
      <c r="D257" s="531"/>
      <c r="E257" s="531"/>
      <c r="F257" s="531"/>
      <c r="G257" s="531"/>
      <c r="H257" s="531"/>
      <c r="I257" s="531"/>
      <c r="J257" s="532"/>
    </row>
    <row r="258" spans="1:10" x14ac:dyDescent="0.2">
      <c r="A258" s="533"/>
      <c r="B258" s="534"/>
      <c r="C258" s="534"/>
      <c r="D258" s="534"/>
      <c r="E258" s="534"/>
      <c r="F258" s="534"/>
      <c r="G258" s="534"/>
      <c r="H258" s="534"/>
      <c r="I258" s="534"/>
      <c r="J258" s="535"/>
    </row>
    <row r="259" spans="1:10" x14ac:dyDescent="0.2">
      <c r="A259" s="457" t="s">
        <v>714</v>
      </c>
      <c r="B259" s="458"/>
      <c r="C259" s="458"/>
      <c r="D259" s="458"/>
      <c r="E259" s="458"/>
      <c r="F259" s="458"/>
      <c r="G259" s="458"/>
      <c r="H259" s="458"/>
      <c r="I259" s="458"/>
      <c r="J259" s="459"/>
    </row>
    <row r="260" spans="1:10" x14ac:dyDescent="0.2">
      <c r="A260" s="457"/>
      <c r="B260" s="458"/>
      <c r="C260" s="458"/>
      <c r="D260" s="458"/>
      <c r="E260" s="458"/>
      <c r="F260" s="458"/>
      <c r="G260" s="458"/>
      <c r="H260" s="458"/>
      <c r="I260" s="458"/>
      <c r="J260" s="459"/>
    </row>
    <row r="261" spans="1:10" x14ac:dyDescent="0.2">
      <c r="A261" s="457"/>
      <c r="B261" s="458"/>
      <c r="C261" s="458"/>
      <c r="D261" s="458"/>
      <c r="E261" s="458"/>
      <c r="F261" s="458"/>
      <c r="G261" s="458"/>
      <c r="H261" s="458"/>
      <c r="I261" s="458"/>
      <c r="J261" s="459"/>
    </row>
    <row r="262" spans="1:10" x14ac:dyDescent="0.2">
      <c r="A262" s="457"/>
      <c r="B262" s="458"/>
      <c r="C262" s="458"/>
      <c r="D262" s="458"/>
      <c r="E262" s="458"/>
      <c r="F262" s="458"/>
      <c r="G262" s="458"/>
      <c r="H262" s="458"/>
      <c r="I262" s="458"/>
      <c r="J262" s="459"/>
    </row>
    <row r="263" spans="1:10" x14ac:dyDescent="0.2">
      <c r="A263" s="457"/>
      <c r="B263" s="458"/>
      <c r="C263" s="458"/>
      <c r="D263" s="458"/>
      <c r="E263" s="458"/>
      <c r="F263" s="458"/>
      <c r="G263" s="458"/>
      <c r="H263" s="458"/>
      <c r="I263" s="458"/>
      <c r="J263" s="459"/>
    </row>
    <row r="264" spans="1:10" x14ac:dyDescent="0.2">
      <c r="A264" s="457"/>
      <c r="B264" s="458"/>
      <c r="C264" s="458"/>
      <c r="D264" s="458"/>
      <c r="E264" s="458"/>
      <c r="F264" s="458"/>
      <c r="G264" s="458"/>
      <c r="H264" s="458"/>
      <c r="I264" s="458"/>
      <c r="J264" s="459"/>
    </row>
    <row r="265" spans="1:10" x14ac:dyDescent="0.2">
      <c r="A265" s="457"/>
      <c r="B265" s="458"/>
      <c r="C265" s="458"/>
      <c r="D265" s="458"/>
      <c r="E265" s="458"/>
      <c r="F265" s="458"/>
      <c r="G265" s="458"/>
      <c r="H265" s="458"/>
      <c r="I265" s="458"/>
      <c r="J265" s="459"/>
    </row>
    <row r="266" spans="1:10" x14ac:dyDescent="0.2">
      <c r="A266" s="457"/>
      <c r="B266" s="458"/>
      <c r="C266" s="458"/>
      <c r="D266" s="458"/>
      <c r="E266" s="458"/>
      <c r="F266" s="458"/>
      <c r="G266" s="458"/>
      <c r="H266" s="458"/>
      <c r="I266" s="458"/>
      <c r="J266" s="459"/>
    </row>
    <row r="267" spans="1:10" x14ac:dyDescent="0.2">
      <c r="A267" s="457"/>
      <c r="B267" s="458"/>
      <c r="C267" s="458"/>
      <c r="D267" s="458"/>
      <c r="E267" s="458"/>
      <c r="F267" s="458"/>
      <c r="G267" s="458"/>
      <c r="H267" s="458"/>
      <c r="I267" s="458"/>
      <c r="J267" s="459"/>
    </row>
    <row r="268" spans="1:10" x14ac:dyDescent="0.2">
      <c r="A268" s="457"/>
      <c r="B268" s="458"/>
      <c r="C268" s="458"/>
      <c r="D268" s="458"/>
      <c r="E268" s="458"/>
      <c r="F268" s="458"/>
      <c r="G268" s="458"/>
      <c r="H268" s="458"/>
      <c r="I268" s="458"/>
      <c r="J268" s="459"/>
    </row>
    <row r="269" spans="1:10" x14ac:dyDescent="0.2">
      <c r="A269" s="457"/>
      <c r="B269" s="458"/>
      <c r="C269" s="458"/>
      <c r="D269" s="458"/>
      <c r="E269" s="458"/>
      <c r="F269" s="458"/>
      <c r="G269" s="458"/>
      <c r="H269" s="458"/>
      <c r="I269" s="458"/>
      <c r="J269" s="459"/>
    </row>
    <row r="270" spans="1:10" x14ac:dyDescent="0.2">
      <c r="A270" s="457"/>
      <c r="B270" s="458"/>
      <c r="C270" s="458"/>
      <c r="D270" s="458"/>
      <c r="E270" s="458"/>
      <c r="F270" s="458"/>
      <c r="G270" s="458"/>
      <c r="H270" s="458"/>
      <c r="I270" s="458"/>
      <c r="J270" s="459"/>
    </row>
    <row r="271" spans="1:10" x14ac:dyDescent="0.2">
      <c r="A271" s="457"/>
      <c r="B271" s="458"/>
      <c r="C271" s="458"/>
      <c r="D271" s="458"/>
      <c r="E271" s="458"/>
      <c r="F271" s="458"/>
      <c r="G271" s="458"/>
      <c r="H271" s="458"/>
      <c r="I271" s="458"/>
      <c r="J271" s="459"/>
    </row>
    <row r="272" spans="1:10" x14ac:dyDescent="0.2">
      <c r="A272" s="457"/>
      <c r="B272" s="458"/>
      <c r="C272" s="458"/>
      <c r="D272" s="458"/>
      <c r="E272" s="458"/>
      <c r="F272" s="458"/>
      <c r="G272" s="458"/>
      <c r="H272" s="458"/>
      <c r="I272" s="458"/>
      <c r="J272" s="459"/>
    </row>
    <row r="273" spans="1:10" x14ac:dyDescent="0.2">
      <c r="A273" s="457"/>
      <c r="B273" s="458"/>
      <c r="C273" s="458"/>
      <c r="D273" s="458"/>
      <c r="E273" s="458"/>
      <c r="F273" s="458"/>
      <c r="G273" s="458"/>
      <c r="H273" s="458"/>
      <c r="I273" s="458"/>
      <c r="J273" s="459"/>
    </row>
    <row r="274" spans="1:10" x14ac:dyDescent="0.2">
      <c r="A274" s="457"/>
      <c r="B274" s="458"/>
      <c r="C274" s="458"/>
      <c r="D274" s="458"/>
      <c r="E274" s="458"/>
      <c r="F274" s="458"/>
      <c r="G274" s="458"/>
      <c r="H274" s="458"/>
      <c r="I274" s="458"/>
      <c r="J274" s="459"/>
    </row>
    <row r="275" spans="1:10" x14ac:dyDescent="0.2">
      <c r="A275" s="457"/>
      <c r="B275" s="458"/>
      <c r="C275" s="458"/>
      <c r="D275" s="458"/>
      <c r="E275" s="458"/>
      <c r="F275" s="458"/>
      <c r="G275" s="458"/>
      <c r="H275" s="458"/>
      <c r="I275" s="458"/>
      <c r="J275" s="459"/>
    </row>
    <row r="276" spans="1:10" x14ac:dyDescent="0.2">
      <c r="A276" s="457"/>
      <c r="B276" s="458"/>
      <c r="C276" s="458"/>
      <c r="D276" s="458"/>
      <c r="E276" s="458"/>
      <c r="F276" s="458"/>
      <c r="G276" s="458"/>
      <c r="H276" s="458"/>
      <c r="I276" s="458"/>
      <c r="J276" s="459"/>
    </row>
    <row r="277" spans="1:10" x14ac:dyDescent="0.2">
      <c r="A277" s="457"/>
      <c r="B277" s="458"/>
      <c r="C277" s="458"/>
      <c r="D277" s="458"/>
      <c r="E277" s="458"/>
      <c r="F277" s="458"/>
      <c r="G277" s="458"/>
      <c r="H277" s="458"/>
      <c r="I277" s="458"/>
      <c r="J277" s="459"/>
    </row>
    <row r="278" spans="1:10" x14ac:dyDescent="0.2">
      <c r="A278" s="457"/>
      <c r="B278" s="458"/>
      <c r="C278" s="458"/>
      <c r="D278" s="458"/>
      <c r="E278" s="458"/>
      <c r="F278" s="458"/>
      <c r="G278" s="458"/>
      <c r="H278" s="458"/>
      <c r="I278" s="458"/>
      <c r="J278" s="459"/>
    </row>
    <row r="279" spans="1:10" x14ac:dyDescent="0.2">
      <c r="A279" s="55"/>
      <c r="B279" s="56"/>
      <c r="C279" s="57"/>
      <c r="D279" s="58"/>
      <c r="E279" s="58"/>
      <c r="F279" s="58"/>
      <c r="G279" s="58"/>
      <c r="H279" s="59"/>
      <c r="I279" s="57"/>
      <c r="J279" s="60"/>
    </row>
    <row r="280" spans="1:10" x14ac:dyDescent="0.2">
      <c r="A280" s="561" t="s">
        <v>541</v>
      </c>
      <c r="B280" s="562"/>
      <c r="C280" s="562"/>
      <c r="D280" s="562"/>
      <c r="E280" s="562"/>
      <c r="F280" s="562"/>
      <c r="G280" s="562"/>
      <c r="H280" s="562"/>
      <c r="I280" s="562"/>
      <c r="J280" s="563"/>
    </row>
    <row r="281" spans="1:10" x14ac:dyDescent="0.2">
      <c r="A281" s="524"/>
      <c r="B281" s="525"/>
      <c r="C281" s="525"/>
      <c r="D281" s="525"/>
      <c r="E281" s="525"/>
      <c r="F281" s="525"/>
      <c r="G281" s="525"/>
      <c r="H281" s="525"/>
      <c r="I281" s="525"/>
      <c r="J281" s="526"/>
    </row>
    <row r="282" spans="1:10" ht="34.15" customHeight="1" x14ac:dyDescent="0.2">
      <c r="A282" s="527" t="s">
        <v>543</v>
      </c>
      <c r="B282" s="528"/>
      <c r="C282" s="528"/>
      <c r="D282" s="528"/>
      <c r="E282" s="528"/>
      <c r="F282" s="528"/>
      <c r="G282" s="528"/>
      <c r="H282" s="528"/>
      <c r="I282" s="528"/>
      <c r="J282" s="529"/>
    </row>
    <row r="283" spans="1:10" ht="28.15" customHeight="1" x14ac:dyDescent="0.2">
      <c r="A283" s="530"/>
      <c r="B283" s="531"/>
      <c r="C283" s="531"/>
      <c r="D283" s="531"/>
      <c r="E283" s="531"/>
      <c r="F283" s="531"/>
      <c r="G283" s="531"/>
      <c r="H283" s="531"/>
      <c r="I283" s="531"/>
      <c r="J283" s="532"/>
    </row>
    <row r="284" spans="1:10" ht="22.9" customHeight="1" x14ac:dyDescent="0.2">
      <c r="A284" s="530"/>
      <c r="B284" s="531"/>
      <c r="C284" s="531"/>
      <c r="D284" s="531"/>
      <c r="E284" s="531"/>
      <c r="F284" s="531"/>
      <c r="G284" s="531"/>
      <c r="H284" s="531"/>
      <c r="I284" s="531"/>
      <c r="J284" s="532"/>
    </row>
    <row r="285" spans="1:10" ht="22.15" customHeight="1" x14ac:dyDescent="0.2">
      <c r="A285" s="533"/>
      <c r="B285" s="534"/>
      <c r="C285" s="534"/>
      <c r="D285" s="534"/>
      <c r="E285" s="534"/>
      <c r="F285" s="534"/>
      <c r="G285" s="534"/>
      <c r="H285" s="534"/>
      <c r="I285" s="534"/>
      <c r="J285" s="535"/>
    </row>
    <row r="286" spans="1:10" x14ac:dyDescent="0.2">
      <c r="A286" s="475" t="s">
        <v>553</v>
      </c>
      <c r="B286" s="476"/>
      <c r="C286" s="476"/>
      <c r="D286" s="476"/>
      <c r="E286" s="476"/>
      <c r="F286" s="484"/>
      <c r="G286" s="484"/>
      <c r="H286" s="484"/>
      <c r="I286" s="484"/>
      <c r="J286" s="485"/>
    </row>
    <row r="287" spans="1:10" x14ac:dyDescent="0.2">
      <c r="A287" s="527" t="s">
        <v>561</v>
      </c>
      <c r="B287" s="528"/>
      <c r="C287" s="528"/>
      <c r="D287" s="528"/>
      <c r="E287" s="528"/>
      <c r="F287" s="528"/>
      <c r="G287" s="528"/>
      <c r="H287" s="528"/>
      <c r="I287" s="528"/>
      <c r="J287" s="529"/>
    </row>
    <row r="288" spans="1:10" x14ac:dyDescent="0.2">
      <c r="A288" s="530"/>
      <c r="B288" s="531"/>
      <c r="C288" s="531"/>
      <c r="D288" s="531"/>
      <c r="E288" s="531"/>
      <c r="F288" s="531"/>
      <c r="G288" s="531"/>
      <c r="H288" s="531"/>
      <c r="I288" s="531"/>
      <c r="J288" s="532"/>
    </row>
    <row r="289" spans="1:10" x14ac:dyDescent="0.2">
      <c r="A289" s="530"/>
      <c r="B289" s="531"/>
      <c r="C289" s="531"/>
      <c r="D289" s="531"/>
      <c r="E289" s="531"/>
      <c r="F289" s="531"/>
      <c r="G289" s="531"/>
      <c r="H289" s="531"/>
      <c r="I289" s="531"/>
      <c r="J289" s="532"/>
    </row>
    <row r="290" spans="1:10" x14ac:dyDescent="0.2">
      <c r="A290" s="530"/>
      <c r="B290" s="531"/>
      <c r="C290" s="531"/>
      <c r="D290" s="531"/>
      <c r="E290" s="531"/>
      <c r="F290" s="531"/>
      <c r="G290" s="531"/>
      <c r="H290" s="531"/>
      <c r="I290" s="531"/>
      <c r="J290" s="532"/>
    </row>
    <row r="291" spans="1:10" x14ac:dyDescent="0.2">
      <c r="A291" s="533"/>
      <c r="B291" s="534"/>
      <c r="C291" s="534"/>
      <c r="D291" s="534"/>
      <c r="E291" s="534"/>
      <c r="F291" s="534"/>
      <c r="G291" s="534"/>
      <c r="H291" s="534"/>
      <c r="I291" s="534"/>
      <c r="J291" s="535"/>
    </row>
    <row r="292" spans="1:10" x14ac:dyDescent="0.2">
      <c r="A292" s="457" t="s">
        <v>714</v>
      </c>
      <c r="B292" s="458"/>
      <c r="C292" s="458"/>
      <c r="D292" s="458"/>
      <c r="E292" s="458"/>
      <c r="F292" s="458"/>
      <c r="G292" s="458"/>
      <c r="H292" s="458"/>
      <c r="I292" s="458"/>
      <c r="J292" s="459"/>
    </row>
    <row r="293" spans="1:10" x14ac:dyDescent="0.2">
      <c r="A293" s="457"/>
      <c r="B293" s="458"/>
      <c r="C293" s="458"/>
      <c r="D293" s="458"/>
      <c r="E293" s="458"/>
      <c r="F293" s="458"/>
      <c r="G293" s="458"/>
      <c r="H293" s="458"/>
      <c r="I293" s="458"/>
      <c r="J293" s="459"/>
    </row>
    <row r="294" spans="1:10" x14ac:dyDescent="0.2">
      <c r="A294" s="457"/>
      <c r="B294" s="458"/>
      <c r="C294" s="458"/>
      <c r="D294" s="458"/>
      <c r="E294" s="458"/>
      <c r="F294" s="458"/>
      <c r="G294" s="458"/>
      <c r="H294" s="458"/>
      <c r="I294" s="458"/>
      <c r="J294" s="459"/>
    </row>
    <row r="295" spans="1:10" x14ac:dyDescent="0.2">
      <c r="A295" s="457"/>
      <c r="B295" s="458"/>
      <c r="C295" s="458"/>
      <c r="D295" s="458"/>
      <c r="E295" s="458"/>
      <c r="F295" s="458"/>
      <c r="G295" s="458"/>
      <c r="H295" s="458"/>
      <c r="I295" s="458"/>
      <c r="J295" s="459"/>
    </row>
    <row r="296" spans="1:10" x14ac:dyDescent="0.2">
      <c r="A296" s="457"/>
      <c r="B296" s="458"/>
      <c r="C296" s="458"/>
      <c r="D296" s="458"/>
      <c r="E296" s="458"/>
      <c r="F296" s="458"/>
      <c r="G296" s="458"/>
      <c r="H296" s="458"/>
      <c r="I296" s="458"/>
      <c r="J296" s="459"/>
    </row>
    <row r="297" spans="1:10" x14ac:dyDescent="0.2">
      <c r="A297" s="457"/>
      <c r="B297" s="458"/>
      <c r="C297" s="458"/>
      <c r="D297" s="458"/>
      <c r="E297" s="458"/>
      <c r="F297" s="458"/>
      <c r="G297" s="458"/>
      <c r="H297" s="458"/>
      <c r="I297" s="458"/>
      <c r="J297" s="459"/>
    </row>
    <row r="298" spans="1:10" x14ac:dyDescent="0.2">
      <c r="A298" s="457"/>
      <c r="B298" s="458"/>
      <c r="C298" s="458"/>
      <c r="D298" s="458"/>
      <c r="E298" s="458"/>
      <c r="F298" s="458"/>
      <c r="G298" s="458"/>
      <c r="H298" s="458"/>
      <c r="I298" s="458"/>
      <c r="J298" s="459"/>
    </row>
    <row r="299" spans="1:10" x14ac:dyDescent="0.2">
      <c r="A299" s="457"/>
      <c r="B299" s="458"/>
      <c r="C299" s="458"/>
      <c r="D299" s="458"/>
      <c r="E299" s="458"/>
      <c r="F299" s="458"/>
      <c r="G299" s="458"/>
      <c r="H299" s="458"/>
      <c r="I299" s="458"/>
      <c r="J299" s="459"/>
    </row>
    <row r="300" spans="1:10" x14ac:dyDescent="0.2">
      <c r="A300" s="457"/>
      <c r="B300" s="458"/>
      <c r="C300" s="458"/>
      <c r="D300" s="458"/>
      <c r="E300" s="458"/>
      <c r="F300" s="458"/>
      <c r="G300" s="458"/>
      <c r="H300" s="458"/>
      <c r="I300" s="458"/>
      <c r="J300" s="459"/>
    </row>
    <row r="301" spans="1:10" x14ac:dyDescent="0.2">
      <c r="A301" s="457"/>
      <c r="B301" s="458"/>
      <c r="C301" s="458"/>
      <c r="D301" s="458"/>
      <c r="E301" s="458"/>
      <c r="F301" s="458"/>
      <c r="G301" s="458"/>
      <c r="H301" s="458"/>
      <c r="I301" s="458"/>
      <c r="J301" s="459"/>
    </row>
    <row r="302" spans="1:10" x14ac:dyDescent="0.2">
      <c r="A302" s="457"/>
      <c r="B302" s="458"/>
      <c r="C302" s="458"/>
      <c r="D302" s="458"/>
      <c r="E302" s="458"/>
      <c r="F302" s="458"/>
      <c r="G302" s="458"/>
      <c r="H302" s="458"/>
      <c r="I302" s="458"/>
      <c r="J302" s="459"/>
    </row>
    <row r="303" spans="1:10" x14ac:dyDescent="0.2">
      <c r="A303" s="457"/>
      <c r="B303" s="458"/>
      <c r="C303" s="458"/>
      <c r="D303" s="458"/>
      <c r="E303" s="458"/>
      <c r="F303" s="458"/>
      <c r="G303" s="458"/>
      <c r="H303" s="458"/>
      <c r="I303" s="458"/>
      <c r="J303" s="459"/>
    </row>
    <row r="304" spans="1:10" x14ac:dyDescent="0.2">
      <c r="A304" s="457"/>
      <c r="B304" s="458"/>
      <c r="C304" s="458"/>
      <c r="D304" s="458"/>
      <c r="E304" s="458"/>
      <c r="F304" s="458"/>
      <c r="G304" s="458"/>
      <c r="H304" s="458"/>
      <c r="I304" s="458"/>
      <c r="J304" s="459"/>
    </row>
    <row r="305" spans="1:10" x14ac:dyDescent="0.2">
      <c r="A305" s="457"/>
      <c r="B305" s="458"/>
      <c r="C305" s="458"/>
      <c r="D305" s="458"/>
      <c r="E305" s="458"/>
      <c r="F305" s="458"/>
      <c r="G305" s="458"/>
      <c r="H305" s="458"/>
      <c r="I305" s="458"/>
      <c r="J305" s="459"/>
    </row>
    <row r="306" spans="1:10" x14ac:dyDescent="0.2">
      <c r="A306" s="457"/>
      <c r="B306" s="458"/>
      <c r="C306" s="458"/>
      <c r="D306" s="458"/>
      <c r="E306" s="458"/>
      <c r="F306" s="458"/>
      <c r="G306" s="458"/>
      <c r="H306" s="458"/>
      <c r="I306" s="458"/>
      <c r="J306" s="459"/>
    </row>
    <row r="307" spans="1:10" x14ac:dyDescent="0.2">
      <c r="A307" s="457"/>
      <c r="B307" s="458"/>
      <c r="C307" s="458"/>
      <c r="D307" s="458"/>
      <c r="E307" s="458"/>
      <c r="F307" s="458"/>
      <c r="G307" s="458"/>
      <c r="H307" s="458"/>
      <c r="I307" s="458"/>
      <c r="J307" s="459"/>
    </row>
    <row r="308" spans="1:10" x14ac:dyDescent="0.2">
      <c r="A308" s="457"/>
      <c r="B308" s="458"/>
      <c r="C308" s="458"/>
      <c r="D308" s="458"/>
      <c r="E308" s="458"/>
      <c r="F308" s="458"/>
      <c r="G308" s="458"/>
      <c r="H308" s="458"/>
      <c r="I308" s="458"/>
      <c r="J308" s="459"/>
    </row>
    <row r="309" spans="1:10" x14ac:dyDescent="0.2">
      <c r="A309" s="457"/>
      <c r="B309" s="458"/>
      <c r="C309" s="458"/>
      <c r="D309" s="458"/>
      <c r="E309" s="458"/>
      <c r="F309" s="458"/>
      <c r="G309" s="458"/>
      <c r="H309" s="458"/>
      <c r="I309" s="458"/>
      <c r="J309" s="459"/>
    </row>
    <row r="310" spans="1:10" x14ac:dyDescent="0.2">
      <c r="A310" s="457"/>
      <c r="B310" s="458"/>
      <c r="C310" s="458"/>
      <c r="D310" s="458"/>
      <c r="E310" s="458"/>
      <c r="F310" s="458"/>
      <c r="G310" s="458"/>
      <c r="H310" s="458"/>
      <c r="I310" s="458"/>
      <c r="J310" s="459"/>
    </row>
    <row r="311" spans="1:10" x14ac:dyDescent="0.2">
      <c r="A311" s="457"/>
      <c r="B311" s="458"/>
      <c r="C311" s="458"/>
      <c r="D311" s="458"/>
      <c r="E311" s="458"/>
      <c r="F311" s="458"/>
      <c r="G311" s="458"/>
      <c r="H311" s="458"/>
      <c r="I311" s="458"/>
      <c r="J311" s="459"/>
    </row>
    <row r="312" spans="1:10" x14ac:dyDescent="0.2">
      <c r="A312" s="55"/>
      <c r="B312" s="56"/>
      <c r="C312" s="57"/>
      <c r="D312" s="58"/>
      <c r="E312" s="58"/>
      <c r="F312" s="58"/>
      <c r="G312" s="58"/>
      <c r="H312" s="59"/>
      <c r="I312" s="57"/>
      <c r="J312" s="60"/>
    </row>
    <row r="313" spans="1:10" x14ac:dyDescent="0.2">
      <c r="A313" s="561" t="s">
        <v>542</v>
      </c>
      <c r="B313" s="562"/>
      <c r="C313" s="562"/>
      <c r="D313" s="562"/>
      <c r="E313" s="562"/>
      <c r="F313" s="562"/>
      <c r="G313" s="562"/>
      <c r="H313" s="562"/>
      <c r="I313" s="562"/>
      <c r="J313" s="563"/>
    </row>
    <row r="314" spans="1:10" x14ac:dyDescent="0.2">
      <c r="A314" s="524"/>
      <c r="B314" s="525"/>
      <c r="C314" s="525"/>
      <c r="D314" s="525"/>
      <c r="E314" s="525"/>
      <c r="F314" s="525"/>
      <c r="G314" s="525"/>
      <c r="H314" s="525"/>
      <c r="I314" s="525"/>
      <c r="J314" s="526"/>
    </row>
    <row r="315" spans="1:10" ht="39" customHeight="1" x14ac:dyDescent="0.2">
      <c r="A315" s="527" t="s">
        <v>560</v>
      </c>
      <c r="B315" s="528"/>
      <c r="C315" s="528"/>
      <c r="D315" s="528"/>
      <c r="E315" s="528"/>
      <c r="F315" s="528"/>
      <c r="G315" s="528"/>
      <c r="H315" s="528"/>
      <c r="I315" s="528"/>
      <c r="J315" s="529"/>
    </row>
    <row r="316" spans="1:10" ht="29.45" customHeight="1" x14ac:dyDescent="0.2">
      <c r="A316" s="530"/>
      <c r="B316" s="531"/>
      <c r="C316" s="531"/>
      <c r="D316" s="531"/>
      <c r="E316" s="531"/>
      <c r="F316" s="531"/>
      <c r="G316" s="531"/>
      <c r="H316" s="531"/>
      <c r="I316" s="531"/>
      <c r="J316" s="532"/>
    </row>
    <row r="317" spans="1:10" x14ac:dyDescent="0.2">
      <c r="A317" s="530"/>
      <c r="B317" s="531"/>
      <c r="C317" s="531"/>
      <c r="D317" s="531"/>
      <c r="E317" s="531"/>
      <c r="F317" s="531"/>
      <c r="G317" s="531"/>
      <c r="H317" s="531"/>
      <c r="I317" s="531"/>
      <c r="J317" s="532"/>
    </row>
    <row r="318" spans="1:10" ht="25.15" customHeight="1" x14ac:dyDescent="0.2">
      <c r="A318" s="530"/>
      <c r="B318" s="531"/>
      <c r="C318" s="531"/>
      <c r="D318" s="531"/>
      <c r="E318" s="531"/>
      <c r="F318" s="531"/>
      <c r="G318" s="531"/>
      <c r="H318" s="531"/>
      <c r="I318" s="531"/>
      <c r="J318" s="532"/>
    </row>
    <row r="319" spans="1:10" x14ac:dyDescent="0.2">
      <c r="A319" s="530"/>
      <c r="B319" s="531"/>
      <c r="C319" s="531"/>
      <c r="D319" s="531"/>
      <c r="E319" s="531"/>
      <c r="F319" s="531"/>
      <c r="G319" s="531"/>
      <c r="H319" s="531"/>
      <c r="I319" s="531"/>
      <c r="J319" s="532"/>
    </row>
    <row r="320" spans="1:10" ht="51.6" customHeight="1" x14ac:dyDescent="0.2">
      <c r="A320" s="533"/>
      <c r="B320" s="534"/>
      <c r="C320" s="534"/>
      <c r="D320" s="534"/>
      <c r="E320" s="534"/>
      <c r="F320" s="534"/>
      <c r="G320" s="534"/>
      <c r="H320" s="534"/>
      <c r="I320" s="534"/>
      <c r="J320" s="535"/>
    </row>
    <row r="321" spans="1:10" x14ac:dyDescent="0.2">
      <c r="A321" s="475" t="s">
        <v>554</v>
      </c>
      <c r="B321" s="476"/>
      <c r="C321" s="476"/>
      <c r="D321" s="476"/>
      <c r="E321" s="476"/>
      <c r="F321" s="484">
        <v>1169127</v>
      </c>
      <c r="G321" s="484"/>
      <c r="H321" s="484"/>
      <c r="I321" s="484"/>
      <c r="J321" s="485"/>
    </row>
    <row r="322" spans="1:10" x14ac:dyDescent="0.2">
      <c r="A322" s="527" t="s">
        <v>342</v>
      </c>
      <c r="B322" s="528"/>
      <c r="C322" s="528"/>
      <c r="D322" s="528"/>
      <c r="E322" s="528"/>
      <c r="F322" s="528"/>
      <c r="G322" s="528"/>
      <c r="H322" s="528"/>
      <c r="I322" s="528"/>
      <c r="J322" s="529"/>
    </row>
    <row r="323" spans="1:10" x14ac:dyDescent="0.2">
      <c r="A323" s="530"/>
      <c r="B323" s="531"/>
      <c r="C323" s="531"/>
      <c r="D323" s="531"/>
      <c r="E323" s="531"/>
      <c r="F323" s="531"/>
      <c r="G323" s="531"/>
      <c r="H323" s="531"/>
      <c r="I323" s="531"/>
      <c r="J323" s="532"/>
    </row>
    <row r="324" spans="1:10" x14ac:dyDescent="0.2">
      <c r="A324" s="530"/>
      <c r="B324" s="531"/>
      <c r="C324" s="531"/>
      <c r="D324" s="531"/>
      <c r="E324" s="531"/>
      <c r="F324" s="531"/>
      <c r="G324" s="531"/>
      <c r="H324" s="531"/>
      <c r="I324" s="531"/>
      <c r="J324" s="532"/>
    </row>
    <row r="325" spans="1:10" x14ac:dyDescent="0.2">
      <c r="A325" s="457" t="s">
        <v>1123</v>
      </c>
      <c r="B325" s="458"/>
      <c r="C325" s="458"/>
      <c r="D325" s="458"/>
      <c r="E325" s="458"/>
      <c r="F325" s="458"/>
      <c r="G325" s="458"/>
      <c r="H325" s="458"/>
      <c r="I325" s="458"/>
      <c r="J325" s="459"/>
    </row>
    <row r="326" spans="1:10" x14ac:dyDescent="0.2">
      <c r="A326" s="457"/>
      <c r="B326" s="458"/>
      <c r="C326" s="458"/>
      <c r="D326" s="458"/>
      <c r="E326" s="458"/>
      <c r="F326" s="458"/>
      <c r="G326" s="458"/>
      <c r="H326" s="458"/>
      <c r="I326" s="458"/>
      <c r="J326" s="459"/>
    </row>
    <row r="327" spans="1:10" x14ac:dyDescent="0.2">
      <c r="A327" s="457"/>
      <c r="B327" s="458"/>
      <c r="C327" s="458"/>
      <c r="D327" s="458"/>
      <c r="E327" s="458"/>
      <c r="F327" s="458"/>
      <c r="G327" s="458"/>
      <c r="H327" s="458"/>
      <c r="I327" s="458"/>
      <c r="J327" s="459"/>
    </row>
    <row r="328" spans="1:10" x14ac:dyDescent="0.2">
      <c r="A328" s="457"/>
      <c r="B328" s="458"/>
      <c r="C328" s="458"/>
      <c r="D328" s="458"/>
      <c r="E328" s="458"/>
      <c r="F328" s="458"/>
      <c r="G328" s="458"/>
      <c r="H328" s="458"/>
      <c r="I328" s="458"/>
      <c r="J328" s="459"/>
    </row>
    <row r="329" spans="1:10" x14ac:dyDescent="0.2">
      <c r="A329" s="457"/>
      <c r="B329" s="458"/>
      <c r="C329" s="458"/>
      <c r="D329" s="458"/>
      <c r="E329" s="458"/>
      <c r="F329" s="458"/>
      <c r="G329" s="458"/>
      <c r="H329" s="458"/>
      <c r="I329" s="458"/>
      <c r="J329" s="459"/>
    </row>
    <row r="330" spans="1:10" x14ac:dyDescent="0.2">
      <c r="A330" s="457"/>
      <c r="B330" s="458"/>
      <c r="C330" s="458"/>
      <c r="D330" s="458"/>
      <c r="E330" s="458"/>
      <c r="F330" s="458"/>
      <c r="G330" s="458"/>
      <c r="H330" s="458"/>
      <c r="I330" s="458"/>
      <c r="J330" s="459"/>
    </row>
    <row r="331" spans="1:10" x14ac:dyDescent="0.2">
      <c r="A331" s="457"/>
      <c r="B331" s="458"/>
      <c r="C331" s="458"/>
      <c r="D331" s="458"/>
      <c r="E331" s="458"/>
      <c r="F331" s="458"/>
      <c r="G331" s="458"/>
      <c r="H331" s="458"/>
      <c r="I331" s="458"/>
      <c r="J331" s="459"/>
    </row>
    <row r="332" spans="1:10" x14ac:dyDescent="0.2">
      <c r="A332" s="457"/>
      <c r="B332" s="458"/>
      <c r="C332" s="458"/>
      <c r="D332" s="458"/>
      <c r="E332" s="458"/>
      <c r="F332" s="458"/>
      <c r="G332" s="458"/>
      <c r="H332" s="458"/>
      <c r="I332" s="458"/>
      <c r="J332" s="459"/>
    </row>
    <row r="333" spans="1:10" x14ac:dyDescent="0.2">
      <c r="A333" s="457"/>
      <c r="B333" s="458"/>
      <c r="C333" s="458"/>
      <c r="D333" s="458"/>
      <c r="E333" s="458"/>
      <c r="F333" s="458"/>
      <c r="G333" s="458"/>
      <c r="H333" s="458"/>
      <c r="I333" s="458"/>
      <c r="J333" s="459"/>
    </row>
    <row r="334" spans="1:10" x14ac:dyDescent="0.2">
      <c r="A334" s="457"/>
      <c r="B334" s="458"/>
      <c r="C334" s="458"/>
      <c r="D334" s="458"/>
      <c r="E334" s="458"/>
      <c r="F334" s="458"/>
      <c r="G334" s="458"/>
      <c r="H334" s="458"/>
      <c r="I334" s="458"/>
      <c r="J334" s="459"/>
    </row>
    <row r="335" spans="1:10" x14ac:dyDescent="0.2">
      <c r="A335" s="457"/>
      <c r="B335" s="458"/>
      <c r="C335" s="458"/>
      <c r="D335" s="458"/>
      <c r="E335" s="458"/>
      <c r="F335" s="458"/>
      <c r="G335" s="458"/>
      <c r="H335" s="458"/>
      <c r="I335" s="458"/>
      <c r="J335" s="459"/>
    </row>
    <row r="336" spans="1:10" x14ac:dyDescent="0.2">
      <c r="A336" s="457"/>
      <c r="B336" s="458"/>
      <c r="C336" s="458"/>
      <c r="D336" s="458"/>
      <c r="E336" s="458"/>
      <c r="F336" s="458"/>
      <c r="G336" s="458"/>
      <c r="H336" s="458"/>
      <c r="I336" s="458"/>
      <c r="J336" s="459"/>
    </row>
    <row r="337" spans="1:10" x14ac:dyDescent="0.2">
      <c r="A337" s="457"/>
      <c r="B337" s="458"/>
      <c r="C337" s="458"/>
      <c r="D337" s="458"/>
      <c r="E337" s="458"/>
      <c r="F337" s="458"/>
      <c r="G337" s="458"/>
      <c r="H337" s="458"/>
      <c r="I337" s="458"/>
      <c r="J337" s="459"/>
    </row>
    <row r="338" spans="1:10" x14ac:dyDescent="0.2">
      <c r="A338" s="457"/>
      <c r="B338" s="458"/>
      <c r="C338" s="458"/>
      <c r="D338" s="458"/>
      <c r="E338" s="458"/>
      <c r="F338" s="458"/>
      <c r="G338" s="458"/>
      <c r="H338" s="458"/>
      <c r="I338" s="458"/>
      <c r="J338" s="459"/>
    </row>
    <row r="339" spans="1:10" x14ac:dyDescent="0.2">
      <c r="A339" s="457"/>
      <c r="B339" s="458"/>
      <c r="C339" s="458"/>
      <c r="D339" s="458"/>
      <c r="E339" s="458"/>
      <c r="F339" s="458"/>
      <c r="G339" s="458"/>
      <c r="H339" s="458"/>
      <c r="I339" s="458"/>
      <c r="J339" s="459"/>
    </row>
    <row r="340" spans="1:10" x14ac:dyDescent="0.2">
      <c r="A340" s="457"/>
      <c r="B340" s="458"/>
      <c r="C340" s="458"/>
      <c r="D340" s="458"/>
      <c r="E340" s="458"/>
      <c r="F340" s="458"/>
      <c r="G340" s="458"/>
      <c r="H340" s="458"/>
      <c r="I340" s="458"/>
      <c r="J340" s="459"/>
    </row>
    <row r="341" spans="1:10" x14ac:dyDescent="0.2">
      <c r="A341" s="457"/>
      <c r="B341" s="458"/>
      <c r="C341" s="458"/>
      <c r="D341" s="458"/>
      <c r="E341" s="458"/>
      <c r="F341" s="458"/>
      <c r="G341" s="458"/>
      <c r="H341" s="458"/>
      <c r="I341" s="458"/>
      <c r="J341" s="459"/>
    </row>
    <row r="342" spans="1:10" x14ac:dyDescent="0.2">
      <c r="A342" s="457"/>
      <c r="B342" s="458"/>
      <c r="C342" s="458"/>
      <c r="D342" s="458"/>
      <c r="E342" s="458"/>
      <c r="F342" s="458"/>
      <c r="G342" s="458"/>
      <c r="H342" s="458"/>
      <c r="I342" s="458"/>
      <c r="J342" s="459"/>
    </row>
    <row r="343" spans="1:10" x14ac:dyDescent="0.2">
      <c r="A343" s="457"/>
      <c r="B343" s="458"/>
      <c r="C343" s="458"/>
      <c r="D343" s="458"/>
      <c r="E343" s="458"/>
      <c r="F343" s="458"/>
      <c r="G343" s="458"/>
      <c r="H343" s="458"/>
      <c r="I343" s="458"/>
      <c r="J343" s="459"/>
    </row>
    <row r="344" spans="1:10" x14ac:dyDescent="0.2">
      <c r="A344" s="457"/>
      <c r="B344" s="458"/>
      <c r="C344" s="458"/>
      <c r="D344" s="458"/>
      <c r="E344" s="458"/>
      <c r="F344" s="458"/>
      <c r="G344" s="458"/>
      <c r="H344" s="458"/>
      <c r="I344" s="458"/>
      <c r="J344" s="459"/>
    </row>
    <row r="345" spans="1:10" ht="13.5" thickBot="1" x14ac:dyDescent="0.25">
      <c r="A345" s="55"/>
      <c r="B345" s="56"/>
      <c r="C345" s="57"/>
      <c r="D345" s="58"/>
      <c r="E345" s="58"/>
      <c r="F345" s="58"/>
      <c r="G345" s="58"/>
      <c r="H345" s="59"/>
      <c r="I345" s="57"/>
      <c r="J345" s="60"/>
    </row>
    <row r="346" spans="1:10" ht="13.5" thickTop="1" x14ac:dyDescent="0.2">
      <c r="A346" s="588" t="s">
        <v>545</v>
      </c>
      <c r="B346" s="589"/>
      <c r="C346" s="589"/>
      <c r="D346" s="589"/>
      <c r="E346" s="589"/>
      <c r="F346" s="589"/>
      <c r="G346" s="589"/>
      <c r="H346" s="589"/>
      <c r="I346" s="589"/>
      <c r="J346" s="590"/>
    </row>
    <row r="347" spans="1:10" x14ac:dyDescent="0.2">
      <c r="A347" s="591"/>
      <c r="B347" s="592"/>
      <c r="C347" s="592"/>
      <c r="D347" s="592"/>
      <c r="E347" s="592"/>
      <c r="F347" s="592"/>
      <c r="G347" s="592"/>
      <c r="H347" s="592"/>
      <c r="I347" s="592"/>
      <c r="J347" s="593"/>
    </row>
    <row r="348" spans="1:10" ht="37.15" customHeight="1" x14ac:dyDescent="0.2">
      <c r="A348" s="594" t="s">
        <v>556</v>
      </c>
      <c r="B348" s="595"/>
      <c r="C348" s="595"/>
      <c r="D348" s="595"/>
      <c r="E348" s="595"/>
      <c r="F348" s="595"/>
      <c r="G348" s="595"/>
      <c r="H348" s="595"/>
      <c r="I348" s="595"/>
      <c r="J348" s="596"/>
    </row>
    <row r="349" spans="1:10" ht="44.45" customHeight="1" x14ac:dyDescent="0.2">
      <c r="A349" s="597"/>
      <c r="B349" s="598"/>
      <c r="C349" s="598"/>
      <c r="D349" s="598"/>
      <c r="E349" s="598"/>
      <c r="F349" s="598"/>
      <c r="G349" s="598"/>
      <c r="H349" s="598"/>
      <c r="I349" s="598"/>
      <c r="J349" s="599"/>
    </row>
    <row r="350" spans="1:10" ht="125.45" customHeight="1" x14ac:dyDescent="0.2">
      <c r="A350" s="600"/>
      <c r="B350" s="601"/>
      <c r="C350" s="601"/>
      <c r="D350" s="601"/>
      <c r="E350" s="601"/>
      <c r="F350" s="601"/>
      <c r="G350" s="601"/>
      <c r="H350" s="601"/>
      <c r="I350" s="601"/>
      <c r="J350" s="602"/>
    </row>
    <row r="351" spans="1:10" x14ac:dyDescent="0.2">
      <c r="A351" s="175"/>
      <c r="B351" s="176"/>
      <c r="C351" s="177"/>
      <c r="D351" s="173"/>
      <c r="E351" s="173"/>
      <c r="F351" s="173"/>
      <c r="G351" s="173"/>
      <c r="H351" s="178"/>
      <c r="I351" s="177"/>
      <c r="J351" s="174"/>
    </row>
    <row r="352" spans="1:10" x14ac:dyDescent="0.2">
      <c r="A352" s="475" t="s">
        <v>546</v>
      </c>
      <c r="B352" s="476"/>
      <c r="C352" s="476"/>
      <c r="D352" s="476"/>
      <c r="E352" s="476"/>
      <c r="F352" s="484"/>
      <c r="G352" s="484"/>
      <c r="H352" s="484"/>
      <c r="I352" s="484"/>
      <c r="J352" s="485"/>
    </row>
    <row r="353" spans="1:10" x14ac:dyDescent="0.2">
      <c r="A353" s="537" t="s">
        <v>547</v>
      </c>
      <c r="B353" s="538"/>
      <c r="C353" s="538"/>
      <c r="D353" s="538"/>
      <c r="E353" s="538"/>
      <c r="F353" s="538"/>
      <c r="G353" s="538"/>
      <c r="H353" s="538"/>
      <c r="I353" s="538"/>
      <c r="J353" s="539"/>
    </row>
    <row r="354" spans="1:10" x14ac:dyDescent="0.2">
      <c r="A354" s="540"/>
      <c r="B354" s="541"/>
      <c r="C354" s="541"/>
      <c r="D354" s="541"/>
      <c r="E354" s="541"/>
      <c r="F354" s="541"/>
      <c r="G354" s="541"/>
      <c r="H354" s="541"/>
      <c r="I354" s="541"/>
      <c r="J354" s="542"/>
    </row>
    <row r="355" spans="1:10" x14ac:dyDescent="0.2">
      <c r="A355" s="540"/>
      <c r="B355" s="541"/>
      <c r="C355" s="541"/>
      <c r="D355" s="541"/>
      <c r="E355" s="541"/>
      <c r="F355" s="541"/>
      <c r="G355" s="541"/>
      <c r="H355" s="541"/>
      <c r="I355" s="541"/>
      <c r="J355" s="542"/>
    </row>
    <row r="356" spans="1:10" x14ac:dyDescent="0.2">
      <c r="A356" s="540"/>
      <c r="B356" s="541"/>
      <c r="C356" s="541"/>
      <c r="D356" s="541"/>
      <c r="E356" s="541"/>
      <c r="F356" s="541"/>
      <c r="G356" s="541"/>
      <c r="H356" s="541"/>
      <c r="I356" s="541"/>
      <c r="J356" s="542"/>
    </row>
    <row r="357" spans="1:10" x14ac:dyDescent="0.2">
      <c r="A357" s="543"/>
      <c r="B357" s="544"/>
      <c r="C357" s="544"/>
      <c r="D357" s="544"/>
      <c r="E357" s="544"/>
      <c r="F357" s="544"/>
      <c r="G357" s="544"/>
      <c r="H357" s="544"/>
      <c r="I357" s="544"/>
      <c r="J357" s="545"/>
    </row>
    <row r="358" spans="1:10" x14ac:dyDescent="0.2">
      <c r="A358" s="536" t="s">
        <v>590</v>
      </c>
      <c r="B358" s="458"/>
      <c r="C358" s="458"/>
      <c r="D358" s="458"/>
      <c r="E358" s="458"/>
      <c r="F358" s="458"/>
      <c r="G358" s="458"/>
      <c r="H358" s="458"/>
      <c r="I358" s="458"/>
      <c r="J358" s="459"/>
    </row>
    <row r="359" spans="1:10" x14ac:dyDescent="0.2">
      <c r="A359" s="457"/>
      <c r="B359" s="458"/>
      <c r="C359" s="458"/>
      <c r="D359" s="458"/>
      <c r="E359" s="458"/>
      <c r="F359" s="458"/>
      <c r="G359" s="458"/>
      <c r="H359" s="458"/>
      <c r="I359" s="458"/>
      <c r="J359" s="459"/>
    </row>
    <row r="360" spans="1:10" x14ac:dyDescent="0.2">
      <c r="A360" s="457"/>
      <c r="B360" s="458"/>
      <c r="C360" s="458"/>
      <c r="D360" s="458"/>
      <c r="E360" s="458"/>
      <c r="F360" s="458"/>
      <c r="G360" s="458"/>
      <c r="H360" s="458"/>
      <c r="I360" s="458"/>
      <c r="J360" s="459"/>
    </row>
    <row r="361" spans="1:10" x14ac:dyDescent="0.2">
      <c r="A361" s="457"/>
      <c r="B361" s="458"/>
      <c r="C361" s="458"/>
      <c r="D361" s="458"/>
      <c r="E361" s="458"/>
      <c r="F361" s="458"/>
      <c r="G361" s="458"/>
      <c r="H361" s="458"/>
      <c r="I361" s="458"/>
      <c r="J361" s="459"/>
    </row>
    <row r="362" spans="1:10" x14ac:dyDescent="0.2">
      <c r="A362" s="457"/>
      <c r="B362" s="458"/>
      <c r="C362" s="458"/>
      <c r="D362" s="458"/>
      <c r="E362" s="458"/>
      <c r="F362" s="458"/>
      <c r="G362" s="458"/>
      <c r="H362" s="458"/>
      <c r="I362" s="458"/>
      <c r="J362" s="459"/>
    </row>
    <row r="363" spans="1:10" x14ac:dyDescent="0.2">
      <c r="A363" s="457"/>
      <c r="B363" s="458"/>
      <c r="C363" s="458"/>
      <c r="D363" s="458"/>
      <c r="E363" s="458"/>
      <c r="F363" s="458"/>
      <c r="G363" s="458"/>
      <c r="H363" s="458"/>
      <c r="I363" s="458"/>
      <c r="J363" s="459"/>
    </row>
    <row r="364" spans="1:10" x14ac:dyDescent="0.2">
      <c r="A364" s="457"/>
      <c r="B364" s="458"/>
      <c r="C364" s="458"/>
      <c r="D364" s="458"/>
      <c r="E364" s="458"/>
      <c r="F364" s="458"/>
      <c r="G364" s="458"/>
      <c r="H364" s="458"/>
      <c r="I364" s="458"/>
      <c r="J364" s="459"/>
    </row>
    <row r="365" spans="1:10" x14ac:dyDescent="0.2">
      <c r="A365" s="457"/>
      <c r="B365" s="458"/>
      <c r="C365" s="458"/>
      <c r="D365" s="458"/>
      <c r="E365" s="458"/>
      <c r="F365" s="458"/>
      <c r="G365" s="458"/>
      <c r="H365" s="458"/>
      <c r="I365" s="458"/>
      <c r="J365" s="459"/>
    </row>
    <row r="366" spans="1:10" x14ac:dyDescent="0.2">
      <c r="A366" s="457"/>
      <c r="B366" s="458"/>
      <c r="C366" s="458"/>
      <c r="D366" s="458"/>
      <c r="E366" s="458"/>
      <c r="F366" s="458"/>
      <c r="G366" s="458"/>
      <c r="H366" s="458"/>
      <c r="I366" s="458"/>
      <c r="J366" s="459"/>
    </row>
    <row r="367" spans="1:10" x14ac:dyDescent="0.2">
      <c r="A367" s="457"/>
      <c r="B367" s="458"/>
      <c r="C367" s="458"/>
      <c r="D367" s="458"/>
      <c r="E367" s="458"/>
      <c r="F367" s="458"/>
      <c r="G367" s="458"/>
      <c r="H367" s="458"/>
      <c r="I367" s="458"/>
      <c r="J367" s="459"/>
    </row>
    <row r="368" spans="1:10" x14ac:dyDescent="0.2">
      <c r="A368" s="457"/>
      <c r="B368" s="458"/>
      <c r="C368" s="458"/>
      <c r="D368" s="458"/>
      <c r="E368" s="458"/>
      <c r="F368" s="458"/>
      <c r="G368" s="458"/>
      <c r="H368" s="458"/>
      <c r="I368" s="458"/>
      <c r="J368" s="459"/>
    </row>
    <row r="369" spans="1:25" x14ac:dyDescent="0.2">
      <c r="A369" s="457"/>
      <c r="B369" s="458"/>
      <c r="C369" s="458"/>
      <c r="D369" s="458"/>
      <c r="E369" s="458"/>
      <c r="F369" s="458"/>
      <c r="G369" s="458"/>
      <c r="H369" s="458"/>
      <c r="I369" s="458"/>
      <c r="J369" s="459"/>
    </row>
    <row r="370" spans="1:25" x14ac:dyDescent="0.2">
      <c r="A370" s="457"/>
      <c r="B370" s="458"/>
      <c r="C370" s="458"/>
      <c r="D370" s="458"/>
      <c r="E370" s="458"/>
      <c r="F370" s="458"/>
      <c r="G370" s="458"/>
      <c r="H370" s="458"/>
      <c r="I370" s="458"/>
      <c r="J370" s="459"/>
    </row>
    <row r="371" spans="1:25" x14ac:dyDescent="0.2">
      <c r="A371" s="457"/>
      <c r="B371" s="458"/>
      <c r="C371" s="458"/>
      <c r="D371" s="458"/>
      <c r="E371" s="458"/>
      <c r="F371" s="458"/>
      <c r="G371" s="458"/>
      <c r="H371" s="458"/>
      <c r="I371" s="458"/>
      <c r="J371" s="459"/>
    </row>
    <row r="372" spans="1:25" x14ac:dyDescent="0.2">
      <c r="A372" s="457"/>
      <c r="B372" s="458"/>
      <c r="C372" s="458"/>
      <c r="D372" s="458"/>
      <c r="E372" s="458"/>
      <c r="F372" s="458"/>
      <c r="G372" s="458"/>
      <c r="H372" s="458"/>
      <c r="I372" s="458"/>
      <c r="J372" s="459"/>
    </row>
    <row r="373" spans="1:25" x14ac:dyDescent="0.2">
      <c r="A373" s="457"/>
      <c r="B373" s="458"/>
      <c r="C373" s="458"/>
      <c r="D373" s="458"/>
      <c r="E373" s="458"/>
      <c r="F373" s="458"/>
      <c r="G373" s="458"/>
      <c r="H373" s="458"/>
      <c r="I373" s="458"/>
      <c r="J373" s="459"/>
    </row>
    <row r="374" spans="1:25" x14ac:dyDescent="0.2">
      <c r="A374" s="457"/>
      <c r="B374" s="458"/>
      <c r="C374" s="458"/>
      <c r="D374" s="458"/>
      <c r="E374" s="458"/>
      <c r="F374" s="458"/>
      <c r="G374" s="458"/>
      <c r="H374" s="458"/>
      <c r="I374" s="458"/>
      <c r="J374" s="459"/>
    </row>
    <row r="375" spans="1:25" x14ac:dyDescent="0.2">
      <c r="A375" s="457"/>
      <c r="B375" s="458"/>
      <c r="C375" s="458"/>
      <c r="D375" s="458"/>
      <c r="E375" s="458"/>
      <c r="F375" s="458"/>
      <c r="G375" s="458"/>
      <c r="H375" s="458"/>
      <c r="I375" s="458"/>
      <c r="J375" s="459"/>
      <c r="Y375" s="218"/>
    </row>
    <row r="376" spans="1:25" x14ac:dyDescent="0.2">
      <c r="A376" s="457"/>
      <c r="B376" s="458"/>
      <c r="C376" s="458"/>
      <c r="D376" s="458"/>
      <c r="E376" s="458"/>
      <c r="F376" s="458"/>
      <c r="G376" s="458"/>
      <c r="H376" s="458"/>
      <c r="I376" s="458"/>
      <c r="J376" s="459"/>
    </row>
    <row r="377" spans="1:25" x14ac:dyDescent="0.2">
      <c r="A377" s="457"/>
      <c r="B377" s="458"/>
      <c r="C377" s="458"/>
      <c r="D377" s="458"/>
      <c r="E377" s="458"/>
      <c r="F377" s="458"/>
      <c r="G377" s="458"/>
      <c r="H377" s="458"/>
      <c r="I377" s="458"/>
      <c r="J377" s="459"/>
      <c r="Y377" s="218"/>
    </row>
    <row r="378" spans="1:25" x14ac:dyDescent="0.2">
      <c r="A378" s="55"/>
      <c r="B378" s="56"/>
      <c r="C378" s="57"/>
      <c r="D378" s="58"/>
      <c r="E378" s="58"/>
      <c r="F378" s="58"/>
      <c r="G378" s="58"/>
      <c r="H378" s="59"/>
      <c r="I378" s="57"/>
      <c r="J378" s="60"/>
    </row>
    <row r="379" spans="1:25" s="61" customFormat="1" ht="25.5" customHeight="1" x14ac:dyDescent="0.2">
      <c r="A379" s="513" t="s">
        <v>582</v>
      </c>
      <c r="B379" s="514"/>
      <c r="C379" s="514"/>
      <c r="D379" s="514"/>
      <c r="E379" s="514"/>
      <c r="F379" s="517">
        <f>SUM(F352,F321,F286,F253,F216,F184,F152,F121,F88,F53,F20)</f>
        <v>5401122.0599999996</v>
      </c>
      <c r="G379" s="517"/>
      <c r="H379" s="517"/>
      <c r="I379" s="517"/>
      <c r="J379" s="518"/>
    </row>
    <row r="380" spans="1:25" ht="48.75" customHeight="1" thickBot="1" x14ac:dyDescent="0.25">
      <c r="A380" s="515"/>
      <c r="B380" s="516"/>
      <c r="C380" s="516"/>
      <c r="D380" s="516"/>
      <c r="E380" s="516"/>
      <c r="F380" s="519"/>
      <c r="G380" s="519"/>
      <c r="H380" s="519"/>
      <c r="I380" s="519"/>
      <c r="J380" s="520"/>
    </row>
    <row r="381" spans="1:25" ht="13.5" thickTop="1" x14ac:dyDescent="0.2"/>
  </sheetData>
  <sheetProtection formatRows="0"/>
  <mergeCells count="78">
    <mergeCell ref="A325:J344"/>
    <mergeCell ref="A346:J347"/>
    <mergeCell ref="A348:J350"/>
    <mergeCell ref="A287:J291"/>
    <mergeCell ref="A292:J311"/>
    <mergeCell ref="A313:J314"/>
    <mergeCell ref="A315:J320"/>
    <mergeCell ref="A321:E321"/>
    <mergeCell ref="F321:J321"/>
    <mergeCell ref="A1:J2"/>
    <mergeCell ref="A3:J5"/>
    <mergeCell ref="A259:J278"/>
    <mergeCell ref="A280:J281"/>
    <mergeCell ref="A282:J285"/>
    <mergeCell ref="A212:J215"/>
    <mergeCell ref="A216:E216"/>
    <mergeCell ref="F216:J216"/>
    <mergeCell ref="A217:J220"/>
    <mergeCell ref="A221:J240"/>
    <mergeCell ref="A89:J91"/>
    <mergeCell ref="A189:J208"/>
    <mergeCell ref="A210:J211"/>
    <mergeCell ref="A9:J10"/>
    <mergeCell ref="A11:J13"/>
    <mergeCell ref="A146:J147"/>
    <mergeCell ref="A286:E286"/>
    <mergeCell ref="F286:J286"/>
    <mergeCell ref="A241:J242"/>
    <mergeCell ref="A243:J245"/>
    <mergeCell ref="A379:E380"/>
    <mergeCell ref="F379:J380"/>
    <mergeCell ref="A247:J248"/>
    <mergeCell ref="A249:J252"/>
    <mergeCell ref="A253:E253"/>
    <mergeCell ref="F253:J253"/>
    <mergeCell ref="A254:J258"/>
    <mergeCell ref="A358:J377"/>
    <mergeCell ref="A322:J324"/>
    <mergeCell ref="A352:E352"/>
    <mergeCell ref="F352:J352"/>
    <mergeCell ref="A353:J357"/>
    <mergeCell ref="A185:J188"/>
    <mergeCell ref="A157:J176"/>
    <mergeCell ref="A152:E152"/>
    <mergeCell ref="A125:J144"/>
    <mergeCell ref="A92:J111"/>
    <mergeCell ref="A113:J114"/>
    <mergeCell ref="A121:E121"/>
    <mergeCell ref="A122:J124"/>
    <mergeCell ref="F121:J121"/>
    <mergeCell ref="A148:J151"/>
    <mergeCell ref="F152:J152"/>
    <mergeCell ref="A153:J156"/>
    <mergeCell ref="F184:J184"/>
    <mergeCell ref="A178:J179"/>
    <mergeCell ref="A180:J183"/>
    <mergeCell ref="A184:E184"/>
    <mergeCell ref="A82:J87"/>
    <mergeCell ref="A115:J120"/>
    <mergeCell ref="A88:E88"/>
    <mergeCell ref="F88:J88"/>
    <mergeCell ref="A7:E7"/>
    <mergeCell ref="F7:J7"/>
    <mergeCell ref="A53:E53"/>
    <mergeCell ref="F53:J53"/>
    <mergeCell ref="A20:E20"/>
    <mergeCell ref="F20:J20"/>
    <mergeCell ref="A14:J15"/>
    <mergeCell ref="A21:J25"/>
    <mergeCell ref="A26:J45"/>
    <mergeCell ref="A47:J48"/>
    <mergeCell ref="A49:J52"/>
    <mergeCell ref="A16:J19"/>
    <mergeCell ref="A8:E8"/>
    <mergeCell ref="F8:J8"/>
    <mergeCell ref="A54:J58"/>
    <mergeCell ref="A59:J78"/>
    <mergeCell ref="A80:J81"/>
  </mergeCells>
  <conditionalFormatting sqref="F379:J380">
    <cfRule type="cellIs" dxfId="50" priority="2" operator="equal">
      <formula>$F$8</formula>
    </cfRule>
  </conditionalFormatting>
  <dataValidations disablePrompts="1" count="1">
    <dataValidation type="list" allowBlank="1" showInputMessage="1" showErrorMessage="1" sqref="F7:J7">
      <formula1>yes</formula1>
    </dataValidation>
  </dataValidations>
  <pageMargins left="0.75" right="0.75" top="1" bottom="1" header="0.5" footer="0.5"/>
  <pageSetup scale="68" fitToWidth="0" fitToHeight="0" orientation="landscape" r:id="rId1"/>
  <headerFooter alignWithMargins="0">
    <oddHeader>&amp;LFFY 2012 Consolidated Application&amp;C&amp;A&amp;R&amp;P of &amp;N</oddHeader>
  </headerFooter>
  <rowBreaks count="10" manualBreakCount="10">
    <brk id="45" max="9" man="1"/>
    <brk id="78" max="9" man="1"/>
    <brk id="111" max="9" man="1"/>
    <brk id="144" max="9" man="1"/>
    <brk id="176" max="9" man="1"/>
    <brk id="208" max="9" man="1"/>
    <brk id="240" max="9" man="1"/>
    <brk id="278" max="9" man="1"/>
    <brk id="311" max="9" man="1"/>
    <brk id="344"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R293"/>
  <sheetViews>
    <sheetView topLeftCell="A147" zoomScale="91" zoomScaleNormal="91" workbookViewId="0">
      <selection activeCell="R193" sqref="R193"/>
    </sheetView>
  </sheetViews>
  <sheetFormatPr defaultColWidth="9.140625" defaultRowHeight="12.75" x14ac:dyDescent="0.2"/>
  <cols>
    <col min="1" max="10" width="15.7109375" style="2" customWidth="1"/>
    <col min="11" max="12" width="0" style="2" hidden="1" customWidth="1"/>
    <col min="13" max="17" width="9.140625" style="2"/>
    <col min="18" max="18" width="12.28515625" style="2" bestFit="1" customWidth="1"/>
    <col min="19" max="16384" width="9.140625" style="2"/>
  </cols>
  <sheetData>
    <row r="1" spans="1:10" ht="13.5" thickTop="1" x14ac:dyDescent="0.2">
      <c r="A1" s="639" t="s">
        <v>143</v>
      </c>
      <c r="B1" s="640"/>
      <c r="C1" s="640"/>
      <c r="D1" s="640"/>
      <c r="E1" s="640"/>
      <c r="F1" s="640"/>
      <c r="G1" s="640"/>
      <c r="H1" s="640"/>
      <c r="I1" s="640"/>
      <c r="J1" s="641"/>
    </row>
    <row r="2" spans="1:10" x14ac:dyDescent="0.2">
      <c r="A2" s="642"/>
      <c r="B2" s="643"/>
      <c r="C2" s="643"/>
      <c r="D2" s="643"/>
      <c r="E2" s="643"/>
      <c r="F2" s="643"/>
      <c r="G2" s="643"/>
      <c r="H2" s="643"/>
      <c r="I2" s="643"/>
      <c r="J2" s="644"/>
    </row>
    <row r="3" spans="1:10" x14ac:dyDescent="0.2">
      <c r="A3" s="645" t="s">
        <v>334</v>
      </c>
      <c r="B3" s="646"/>
      <c r="C3" s="646"/>
      <c r="D3" s="646"/>
      <c r="E3" s="646"/>
      <c r="F3" s="646"/>
      <c r="G3" s="646"/>
      <c r="H3" s="646"/>
      <c r="I3" s="646"/>
      <c r="J3" s="647"/>
    </row>
    <row r="4" spans="1:10" x14ac:dyDescent="0.2">
      <c r="A4" s="648"/>
      <c r="B4" s="649"/>
      <c r="C4" s="649"/>
      <c r="D4" s="649"/>
      <c r="E4" s="649"/>
      <c r="F4" s="649"/>
      <c r="G4" s="649"/>
      <c r="H4" s="649"/>
      <c r="I4" s="649"/>
      <c r="J4" s="650"/>
    </row>
    <row r="5" spans="1:10" x14ac:dyDescent="0.2">
      <c r="A5" s="651"/>
      <c r="B5" s="652"/>
      <c r="C5" s="652"/>
      <c r="D5" s="652"/>
      <c r="E5" s="652"/>
      <c r="F5" s="652"/>
      <c r="G5" s="652"/>
      <c r="H5" s="652"/>
      <c r="I5" s="652"/>
      <c r="J5" s="653"/>
    </row>
    <row r="6" spans="1:10" s="143" customFormat="1" x14ac:dyDescent="0.2">
      <c r="A6" s="161"/>
      <c r="B6" s="160"/>
      <c r="C6" s="157"/>
      <c r="D6" s="159"/>
      <c r="E6" s="159"/>
      <c r="F6" s="159"/>
      <c r="G6" s="159"/>
      <c r="H6" s="158"/>
      <c r="I6" s="157"/>
      <c r="J6" s="156"/>
    </row>
    <row r="7" spans="1:10" x14ac:dyDescent="0.2">
      <c r="A7" s="603" t="s">
        <v>144</v>
      </c>
      <c r="B7" s="604"/>
      <c r="C7" s="604"/>
      <c r="D7" s="604"/>
      <c r="E7" s="604"/>
      <c r="F7" s="604"/>
      <c r="G7" s="604"/>
      <c r="H7" s="604"/>
      <c r="I7" s="604"/>
      <c r="J7" s="605"/>
    </row>
    <row r="8" spans="1:10" x14ac:dyDescent="0.2">
      <c r="A8" s="606"/>
      <c r="B8" s="607"/>
      <c r="C8" s="607"/>
      <c r="D8" s="607"/>
      <c r="E8" s="607"/>
      <c r="F8" s="607"/>
      <c r="G8" s="607"/>
      <c r="H8" s="607"/>
      <c r="I8" s="607"/>
      <c r="J8" s="608"/>
    </row>
    <row r="9" spans="1:10" ht="12.75" customHeight="1" x14ac:dyDescent="0.2">
      <c r="A9" s="609" t="s">
        <v>335</v>
      </c>
      <c r="B9" s="610"/>
      <c r="C9" s="610"/>
      <c r="D9" s="610"/>
      <c r="E9" s="610"/>
      <c r="F9" s="610"/>
      <c r="G9" s="610"/>
      <c r="H9" s="610"/>
      <c r="I9" s="610"/>
      <c r="J9" s="611"/>
    </row>
    <row r="10" spans="1:10" ht="12.75" customHeight="1" x14ac:dyDescent="0.2">
      <c r="A10" s="612"/>
      <c r="B10" s="613"/>
      <c r="C10" s="613"/>
      <c r="D10" s="613"/>
      <c r="E10" s="613"/>
      <c r="F10" s="613"/>
      <c r="G10" s="613"/>
      <c r="H10" s="613"/>
      <c r="I10" s="613"/>
      <c r="J10" s="614"/>
    </row>
    <row r="11" spans="1:10" ht="12.75" customHeight="1" x14ac:dyDescent="0.2">
      <c r="A11" s="612"/>
      <c r="B11" s="613"/>
      <c r="C11" s="613"/>
      <c r="D11" s="613"/>
      <c r="E11" s="613"/>
      <c r="F11" s="613"/>
      <c r="G11" s="613"/>
      <c r="H11" s="613"/>
      <c r="I11" s="613"/>
      <c r="J11" s="614"/>
    </row>
    <row r="12" spans="1:10" ht="15" customHeight="1" x14ac:dyDescent="0.2">
      <c r="A12" s="615"/>
      <c r="B12" s="616"/>
      <c r="C12" s="616"/>
      <c r="D12" s="616"/>
      <c r="E12" s="616"/>
      <c r="F12" s="616"/>
      <c r="G12" s="616"/>
      <c r="H12" s="616"/>
      <c r="I12" s="616"/>
      <c r="J12" s="617"/>
    </row>
    <row r="13" spans="1:10" s="143" customFormat="1" ht="12.75" customHeight="1" x14ac:dyDescent="0.2">
      <c r="A13" s="475" t="s">
        <v>337</v>
      </c>
      <c r="B13" s="476"/>
      <c r="C13" s="476"/>
      <c r="D13" s="476"/>
      <c r="E13" s="476"/>
      <c r="F13" s="484">
        <f>IF('1'!$B$28&gt;499999.99,ROUND('1'!$B$28*0.01,2))</f>
        <v>270056.09999999998</v>
      </c>
      <c r="G13" s="484"/>
      <c r="H13" s="484"/>
      <c r="I13" s="484"/>
      <c r="J13" s="485"/>
    </row>
    <row r="14" spans="1:10" ht="12.75" customHeight="1" x14ac:dyDescent="0.2">
      <c r="A14" s="609" t="s">
        <v>336</v>
      </c>
      <c r="B14" s="610"/>
      <c r="C14" s="610"/>
      <c r="D14" s="610"/>
      <c r="E14" s="610"/>
      <c r="F14" s="610"/>
      <c r="G14" s="610"/>
      <c r="H14" s="610"/>
      <c r="I14" s="610"/>
      <c r="J14" s="611"/>
    </row>
    <row r="15" spans="1:10" ht="12.75" customHeight="1" x14ac:dyDescent="0.2">
      <c r="A15" s="612"/>
      <c r="B15" s="613"/>
      <c r="C15" s="613"/>
      <c r="D15" s="613"/>
      <c r="E15" s="613"/>
      <c r="F15" s="613"/>
      <c r="G15" s="613"/>
      <c r="H15" s="613"/>
      <c r="I15" s="613"/>
      <c r="J15" s="614"/>
    </row>
    <row r="16" spans="1:10" ht="12.75" customHeight="1" x14ac:dyDescent="0.2">
      <c r="A16" s="612"/>
      <c r="B16" s="613"/>
      <c r="C16" s="613"/>
      <c r="D16" s="613"/>
      <c r="E16" s="613"/>
      <c r="F16" s="613"/>
      <c r="G16" s="613"/>
      <c r="H16" s="613"/>
      <c r="I16" s="613"/>
      <c r="J16" s="614"/>
    </row>
    <row r="17" spans="1:10" ht="12.75" customHeight="1" x14ac:dyDescent="0.2">
      <c r="A17" s="612"/>
      <c r="B17" s="613"/>
      <c r="C17" s="613"/>
      <c r="D17" s="613"/>
      <c r="E17" s="613"/>
      <c r="F17" s="613"/>
      <c r="G17" s="613"/>
      <c r="H17" s="613"/>
      <c r="I17" s="613"/>
      <c r="J17" s="614"/>
    </row>
    <row r="18" spans="1:10" ht="15" customHeight="1" x14ac:dyDescent="0.2">
      <c r="A18" s="615"/>
      <c r="B18" s="616"/>
      <c r="C18" s="616"/>
      <c r="D18" s="616"/>
      <c r="E18" s="616"/>
      <c r="F18" s="616"/>
      <c r="G18" s="616"/>
      <c r="H18" s="616"/>
      <c r="I18" s="616"/>
      <c r="J18" s="617"/>
    </row>
    <row r="19" spans="1:10" s="143" customFormat="1" ht="12.75" customHeight="1" x14ac:dyDescent="0.2">
      <c r="A19" s="618" t="s">
        <v>1090</v>
      </c>
      <c r="B19" s="619"/>
      <c r="C19" s="619"/>
      <c r="D19" s="619"/>
      <c r="E19" s="619"/>
      <c r="F19" s="619"/>
      <c r="G19" s="619"/>
      <c r="H19" s="619"/>
      <c r="I19" s="619"/>
      <c r="J19" s="620"/>
    </row>
    <row r="20" spans="1:10" s="143" customFormat="1" x14ac:dyDescent="0.2">
      <c r="A20" s="618"/>
      <c r="B20" s="619"/>
      <c r="C20" s="619"/>
      <c r="D20" s="619"/>
      <c r="E20" s="619"/>
      <c r="F20" s="619"/>
      <c r="G20" s="619"/>
      <c r="H20" s="619"/>
      <c r="I20" s="619"/>
      <c r="J20" s="620"/>
    </row>
    <row r="21" spans="1:10" s="143" customFormat="1" x14ac:dyDescent="0.2">
      <c r="A21" s="618"/>
      <c r="B21" s="619"/>
      <c r="C21" s="619"/>
      <c r="D21" s="619"/>
      <c r="E21" s="619"/>
      <c r="F21" s="619"/>
      <c r="G21" s="619"/>
      <c r="H21" s="619"/>
      <c r="I21" s="619"/>
      <c r="J21" s="620"/>
    </row>
    <row r="22" spans="1:10" s="143" customFormat="1" x14ac:dyDescent="0.2">
      <c r="A22" s="618"/>
      <c r="B22" s="619"/>
      <c r="C22" s="619"/>
      <c r="D22" s="619"/>
      <c r="E22" s="619"/>
      <c r="F22" s="619"/>
      <c r="G22" s="619"/>
      <c r="H22" s="619"/>
      <c r="I22" s="619"/>
      <c r="J22" s="620"/>
    </row>
    <row r="23" spans="1:10" s="143" customFormat="1" x14ac:dyDescent="0.2">
      <c r="A23" s="618"/>
      <c r="B23" s="619"/>
      <c r="C23" s="619"/>
      <c r="D23" s="619"/>
      <c r="E23" s="619"/>
      <c r="F23" s="619"/>
      <c r="G23" s="619"/>
      <c r="H23" s="619"/>
      <c r="I23" s="619"/>
      <c r="J23" s="620"/>
    </row>
    <row r="24" spans="1:10" s="143" customFormat="1" x14ac:dyDescent="0.2">
      <c r="A24" s="618"/>
      <c r="B24" s="619"/>
      <c r="C24" s="619"/>
      <c r="D24" s="619"/>
      <c r="E24" s="619"/>
      <c r="F24" s="619"/>
      <c r="G24" s="619"/>
      <c r="H24" s="619"/>
      <c r="I24" s="619"/>
      <c r="J24" s="620"/>
    </row>
    <row r="25" spans="1:10" s="143" customFormat="1" x14ac:dyDescent="0.2">
      <c r="A25" s="618"/>
      <c r="B25" s="619"/>
      <c r="C25" s="619"/>
      <c r="D25" s="619"/>
      <c r="E25" s="619"/>
      <c r="F25" s="619"/>
      <c r="G25" s="619"/>
      <c r="H25" s="619"/>
      <c r="I25" s="619"/>
      <c r="J25" s="620"/>
    </row>
    <row r="26" spans="1:10" s="143" customFormat="1" x14ac:dyDescent="0.2">
      <c r="A26" s="618"/>
      <c r="B26" s="619"/>
      <c r="C26" s="619"/>
      <c r="D26" s="619"/>
      <c r="E26" s="619"/>
      <c r="F26" s="619"/>
      <c r="G26" s="619"/>
      <c r="H26" s="619"/>
      <c r="I26" s="619"/>
      <c r="J26" s="620"/>
    </row>
    <row r="27" spans="1:10" s="143" customFormat="1" x14ac:dyDescent="0.2">
      <c r="A27" s="618"/>
      <c r="B27" s="619"/>
      <c r="C27" s="619"/>
      <c r="D27" s="619"/>
      <c r="E27" s="619"/>
      <c r="F27" s="619"/>
      <c r="G27" s="619"/>
      <c r="H27" s="619"/>
      <c r="I27" s="619"/>
      <c r="J27" s="620"/>
    </row>
    <row r="28" spans="1:10" s="143" customFormat="1" x14ac:dyDescent="0.2">
      <c r="A28" s="618"/>
      <c r="B28" s="619"/>
      <c r="C28" s="619"/>
      <c r="D28" s="619"/>
      <c r="E28" s="619"/>
      <c r="F28" s="619"/>
      <c r="G28" s="619"/>
      <c r="H28" s="619"/>
      <c r="I28" s="619"/>
      <c r="J28" s="620"/>
    </row>
    <row r="29" spans="1:10" s="143" customFormat="1" x14ac:dyDescent="0.2">
      <c r="A29" s="618"/>
      <c r="B29" s="619"/>
      <c r="C29" s="619"/>
      <c r="D29" s="619"/>
      <c r="E29" s="619"/>
      <c r="F29" s="619"/>
      <c r="G29" s="619"/>
      <c r="H29" s="619"/>
      <c r="I29" s="619"/>
      <c r="J29" s="620"/>
    </row>
    <row r="30" spans="1:10" s="143" customFormat="1" x14ac:dyDescent="0.2">
      <c r="A30" s="618"/>
      <c r="B30" s="619"/>
      <c r="C30" s="619"/>
      <c r="D30" s="619"/>
      <c r="E30" s="619"/>
      <c r="F30" s="619"/>
      <c r="G30" s="619"/>
      <c r="H30" s="619"/>
      <c r="I30" s="619"/>
      <c r="J30" s="620"/>
    </row>
    <row r="31" spans="1:10" s="143" customFormat="1" x14ac:dyDescent="0.2">
      <c r="A31" s="618"/>
      <c r="B31" s="619"/>
      <c r="C31" s="619"/>
      <c r="D31" s="619"/>
      <c r="E31" s="619"/>
      <c r="F31" s="619"/>
      <c r="G31" s="619"/>
      <c r="H31" s="619"/>
      <c r="I31" s="619"/>
      <c r="J31" s="620"/>
    </row>
    <row r="32" spans="1:10" s="143" customFormat="1" x14ac:dyDescent="0.2">
      <c r="A32" s="618"/>
      <c r="B32" s="619"/>
      <c r="C32" s="619"/>
      <c r="D32" s="619"/>
      <c r="E32" s="619"/>
      <c r="F32" s="619"/>
      <c r="G32" s="619"/>
      <c r="H32" s="619"/>
      <c r="I32" s="619"/>
      <c r="J32" s="620"/>
    </row>
    <row r="33" spans="1:10" s="143" customFormat="1" x14ac:dyDescent="0.2">
      <c r="A33" s="618"/>
      <c r="B33" s="619"/>
      <c r="C33" s="619"/>
      <c r="D33" s="619"/>
      <c r="E33" s="619"/>
      <c r="F33" s="619"/>
      <c r="G33" s="619"/>
      <c r="H33" s="619"/>
      <c r="I33" s="619"/>
      <c r="J33" s="620"/>
    </row>
    <row r="34" spans="1:10" s="143" customFormat="1" x14ac:dyDescent="0.2">
      <c r="A34" s="618"/>
      <c r="B34" s="619"/>
      <c r="C34" s="619"/>
      <c r="D34" s="619"/>
      <c r="E34" s="619"/>
      <c r="F34" s="619"/>
      <c r="G34" s="619"/>
      <c r="H34" s="619"/>
      <c r="I34" s="619"/>
      <c r="J34" s="620"/>
    </row>
    <row r="35" spans="1:10" s="143" customFormat="1" x14ac:dyDescent="0.2">
      <c r="A35" s="618"/>
      <c r="B35" s="619"/>
      <c r="C35" s="619"/>
      <c r="D35" s="619"/>
      <c r="E35" s="619"/>
      <c r="F35" s="619"/>
      <c r="G35" s="619"/>
      <c r="H35" s="619"/>
      <c r="I35" s="619"/>
      <c r="J35" s="620"/>
    </row>
    <row r="36" spans="1:10" s="143" customFormat="1" x14ac:dyDescent="0.2">
      <c r="A36" s="618"/>
      <c r="B36" s="619"/>
      <c r="C36" s="619"/>
      <c r="D36" s="619"/>
      <c r="E36" s="619"/>
      <c r="F36" s="619"/>
      <c r="G36" s="619"/>
      <c r="H36" s="619"/>
      <c r="I36" s="619"/>
      <c r="J36" s="620"/>
    </row>
    <row r="37" spans="1:10" s="143" customFormat="1" x14ac:dyDescent="0.2">
      <c r="A37" s="618"/>
      <c r="B37" s="619"/>
      <c r="C37" s="619"/>
      <c r="D37" s="619"/>
      <c r="E37" s="619"/>
      <c r="F37" s="619"/>
      <c r="G37" s="619"/>
      <c r="H37" s="619"/>
      <c r="I37" s="619"/>
      <c r="J37" s="620"/>
    </row>
    <row r="38" spans="1:10" s="143" customFormat="1" x14ac:dyDescent="0.2">
      <c r="A38" s="618"/>
      <c r="B38" s="619"/>
      <c r="C38" s="619"/>
      <c r="D38" s="619"/>
      <c r="E38" s="619"/>
      <c r="F38" s="619"/>
      <c r="G38" s="619"/>
      <c r="H38" s="619"/>
      <c r="I38" s="619"/>
      <c r="J38" s="620"/>
    </row>
    <row r="39" spans="1:10" s="143" customFormat="1" x14ac:dyDescent="0.2">
      <c r="A39" s="618"/>
      <c r="B39" s="619"/>
      <c r="C39" s="619"/>
      <c r="D39" s="619"/>
      <c r="E39" s="619"/>
      <c r="F39" s="619"/>
      <c r="G39" s="619"/>
      <c r="H39" s="619"/>
      <c r="I39" s="619"/>
      <c r="J39" s="620"/>
    </row>
    <row r="40" spans="1:10" s="143" customFormat="1" x14ac:dyDescent="0.2">
      <c r="A40" s="618"/>
      <c r="B40" s="619"/>
      <c r="C40" s="619"/>
      <c r="D40" s="619"/>
      <c r="E40" s="619"/>
      <c r="F40" s="619"/>
      <c r="G40" s="619"/>
      <c r="H40" s="619"/>
      <c r="I40" s="619"/>
      <c r="J40" s="620"/>
    </row>
    <row r="41" spans="1:10" s="143" customFormat="1" x14ac:dyDescent="0.2">
      <c r="A41" s="618"/>
      <c r="B41" s="619"/>
      <c r="C41" s="619"/>
      <c r="D41" s="619"/>
      <c r="E41" s="619"/>
      <c r="F41" s="619"/>
      <c r="G41" s="619"/>
      <c r="H41" s="619"/>
      <c r="I41" s="619"/>
      <c r="J41" s="620"/>
    </row>
    <row r="42" spans="1:10" s="143" customFormat="1" x14ac:dyDescent="0.2">
      <c r="A42" s="161"/>
      <c r="B42" s="160"/>
      <c r="C42" s="157"/>
      <c r="D42" s="159"/>
      <c r="E42" s="159"/>
      <c r="F42" s="159"/>
      <c r="G42" s="159"/>
      <c r="H42" s="158"/>
      <c r="I42" s="157"/>
      <c r="J42" s="156"/>
    </row>
    <row r="43" spans="1:10" x14ac:dyDescent="0.2">
      <c r="A43" s="603" t="s">
        <v>346</v>
      </c>
      <c r="B43" s="604"/>
      <c r="C43" s="604"/>
      <c r="D43" s="604"/>
      <c r="E43" s="604"/>
      <c r="F43" s="604"/>
      <c r="G43" s="604"/>
      <c r="H43" s="604"/>
      <c r="I43" s="604"/>
      <c r="J43" s="605"/>
    </row>
    <row r="44" spans="1:10" x14ac:dyDescent="0.2">
      <c r="A44" s="606"/>
      <c r="B44" s="607"/>
      <c r="C44" s="607"/>
      <c r="D44" s="607"/>
      <c r="E44" s="607"/>
      <c r="F44" s="607"/>
      <c r="G44" s="607"/>
      <c r="H44" s="607"/>
      <c r="I44" s="607"/>
      <c r="J44" s="608"/>
    </row>
    <row r="45" spans="1:10" ht="12.75" customHeight="1" x14ac:dyDescent="0.2">
      <c r="A45" s="609" t="s">
        <v>338</v>
      </c>
      <c r="B45" s="610"/>
      <c r="C45" s="610"/>
      <c r="D45" s="610"/>
      <c r="E45" s="610"/>
      <c r="F45" s="610"/>
      <c r="G45" s="610"/>
      <c r="H45" s="610"/>
      <c r="I45" s="610"/>
      <c r="J45" s="611"/>
    </row>
    <row r="46" spans="1:10" ht="12.75" customHeight="1" x14ac:dyDescent="0.2">
      <c r="A46" s="612"/>
      <c r="B46" s="613"/>
      <c r="C46" s="613"/>
      <c r="D46" s="613"/>
      <c r="E46" s="613"/>
      <c r="F46" s="613"/>
      <c r="G46" s="613"/>
      <c r="H46" s="613"/>
      <c r="I46" s="613"/>
      <c r="J46" s="614"/>
    </row>
    <row r="47" spans="1:10" ht="12.75" customHeight="1" x14ac:dyDescent="0.2">
      <c r="A47" s="612"/>
      <c r="B47" s="613"/>
      <c r="C47" s="613"/>
      <c r="D47" s="613"/>
      <c r="E47" s="613"/>
      <c r="F47" s="613"/>
      <c r="G47" s="613"/>
      <c r="H47" s="613"/>
      <c r="I47" s="613"/>
      <c r="J47" s="614"/>
    </row>
    <row r="48" spans="1:10" ht="15" customHeight="1" x14ac:dyDescent="0.2">
      <c r="A48" s="615"/>
      <c r="B48" s="616"/>
      <c r="C48" s="616"/>
      <c r="D48" s="616"/>
      <c r="E48" s="616"/>
      <c r="F48" s="616"/>
      <c r="G48" s="616"/>
      <c r="H48" s="616"/>
      <c r="I48" s="616"/>
      <c r="J48" s="617"/>
    </row>
    <row r="49" spans="1:10" s="143" customFormat="1" ht="12.75" customHeight="1" x14ac:dyDescent="0.2">
      <c r="A49" s="475" t="s">
        <v>147</v>
      </c>
      <c r="B49" s="476"/>
      <c r="C49" s="476"/>
      <c r="D49" s="476"/>
      <c r="E49" s="476"/>
      <c r="F49" s="495">
        <v>1882640.13</v>
      </c>
      <c r="G49" s="495"/>
      <c r="H49" s="495"/>
      <c r="I49" s="495"/>
      <c r="J49" s="496"/>
    </row>
    <row r="50" spans="1:10" ht="12.75" customHeight="1" x14ac:dyDescent="0.2">
      <c r="A50" s="609" t="s">
        <v>343</v>
      </c>
      <c r="B50" s="610"/>
      <c r="C50" s="610"/>
      <c r="D50" s="610"/>
      <c r="E50" s="610"/>
      <c r="F50" s="610"/>
      <c r="G50" s="610"/>
      <c r="H50" s="610"/>
      <c r="I50" s="610"/>
      <c r="J50" s="611"/>
    </row>
    <row r="51" spans="1:10" ht="12.75" customHeight="1" x14ac:dyDescent="0.2">
      <c r="A51" s="612"/>
      <c r="B51" s="613"/>
      <c r="C51" s="613"/>
      <c r="D51" s="613"/>
      <c r="E51" s="613"/>
      <c r="F51" s="613"/>
      <c r="G51" s="613"/>
      <c r="H51" s="613"/>
      <c r="I51" s="613"/>
      <c r="J51" s="614"/>
    </row>
    <row r="52" spans="1:10" ht="12.75" customHeight="1" x14ac:dyDescent="0.2">
      <c r="A52" s="612"/>
      <c r="B52" s="613"/>
      <c r="C52" s="613"/>
      <c r="D52" s="613"/>
      <c r="E52" s="613"/>
      <c r="F52" s="613"/>
      <c r="G52" s="613"/>
      <c r="H52" s="613"/>
      <c r="I52" s="613"/>
      <c r="J52" s="614"/>
    </row>
    <row r="53" spans="1:10" ht="15" customHeight="1" x14ac:dyDescent="0.2">
      <c r="A53" s="615"/>
      <c r="B53" s="616"/>
      <c r="C53" s="616"/>
      <c r="D53" s="616"/>
      <c r="E53" s="616"/>
      <c r="F53" s="616"/>
      <c r="G53" s="616"/>
      <c r="H53" s="616"/>
      <c r="I53" s="616"/>
      <c r="J53" s="617"/>
    </row>
    <row r="54" spans="1:10" s="143" customFormat="1" ht="12.75" customHeight="1" x14ac:dyDescent="0.2">
      <c r="A54" s="621" t="s">
        <v>1100</v>
      </c>
      <c r="B54" s="622"/>
      <c r="C54" s="622"/>
      <c r="D54" s="622"/>
      <c r="E54" s="622"/>
      <c r="F54" s="622"/>
      <c r="G54" s="622"/>
      <c r="H54" s="622"/>
      <c r="I54" s="622"/>
      <c r="J54" s="623"/>
    </row>
    <row r="55" spans="1:10" s="143" customFormat="1" x14ac:dyDescent="0.2">
      <c r="A55" s="624"/>
      <c r="B55" s="625"/>
      <c r="C55" s="625"/>
      <c r="D55" s="625"/>
      <c r="E55" s="625"/>
      <c r="F55" s="625"/>
      <c r="G55" s="625"/>
      <c r="H55" s="625"/>
      <c r="I55" s="625"/>
      <c r="J55" s="626"/>
    </row>
    <row r="56" spans="1:10" s="143" customFormat="1" x14ac:dyDescent="0.2">
      <c r="A56" s="624"/>
      <c r="B56" s="625"/>
      <c r="C56" s="625"/>
      <c r="D56" s="625"/>
      <c r="E56" s="625"/>
      <c r="F56" s="625"/>
      <c r="G56" s="625"/>
      <c r="H56" s="625"/>
      <c r="I56" s="625"/>
      <c r="J56" s="626"/>
    </row>
    <row r="57" spans="1:10" s="143" customFormat="1" x14ac:dyDescent="0.2">
      <c r="A57" s="624"/>
      <c r="B57" s="625"/>
      <c r="C57" s="625"/>
      <c r="D57" s="625"/>
      <c r="E57" s="625"/>
      <c r="F57" s="625"/>
      <c r="G57" s="625"/>
      <c r="H57" s="625"/>
      <c r="I57" s="625"/>
      <c r="J57" s="626"/>
    </row>
    <row r="58" spans="1:10" s="143" customFormat="1" x14ac:dyDescent="0.2">
      <c r="A58" s="624"/>
      <c r="B58" s="625"/>
      <c r="C58" s="625"/>
      <c r="D58" s="625"/>
      <c r="E58" s="625"/>
      <c r="F58" s="625"/>
      <c r="G58" s="625"/>
      <c r="H58" s="625"/>
      <c r="I58" s="625"/>
      <c r="J58" s="626"/>
    </row>
    <row r="59" spans="1:10" s="143" customFormat="1" x14ac:dyDescent="0.2">
      <c r="A59" s="624"/>
      <c r="B59" s="625"/>
      <c r="C59" s="625"/>
      <c r="D59" s="625"/>
      <c r="E59" s="625"/>
      <c r="F59" s="625"/>
      <c r="G59" s="625"/>
      <c r="H59" s="625"/>
      <c r="I59" s="625"/>
      <c r="J59" s="626"/>
    </row>
    <row r="60" spans="1:10" s="143" customFormat="1" x14ac:dyDescent="0.2">
      <c r="A60" s="624"/>
      <c r="B60" s="625"/>
      <c r="C60" s="625"/>
      <c r="D60" s="625"/>
      <c r="E60" s="625"/>
      <c r="F60" s="625"/>
      <c r="G60" s="625"/>
      <c r="H60" s="625"/>
      <c r="I60" s="625"/>
      <c r="J60" s="626"/>
    </row>
    <row r="61" spans="1:10" s="143" customFormat="1" x14ac:dyDescent="0.2">
      <c r="A61" s="624"/>
      <c r="B61" s="625"/>
      <c r="C61" s="625"/>
      <c r="D61" s="625"/>
      <c r="E61" s="625"/>
      <c r="F61" s="625"/>
      <c r="G61" s="625"/>
      <c r="H61" s="625"/>
      <c r="I61" s="625"/>
      <c r="J61" s="626"/>
    </row>
    <row r="62" spans="1:10" s="143" customFormat="1" x14ac:dyDescent="0.2">
      <c r="A62" s="624"/>
      <c r="B62" s="625"/>
      <c r="C62" s="625"/>
      <c r="D62" s="625"/>
      <c r="E62" s="625"/>
      <c r="F62" s="625"/>
      <c r="G62" s="625"/>
      <c r="H62" s="625"/>
      <c r="I62" s="625"/>
      <c r="J62" s="626"/>
    </row>
    <row r="63" spans="1:10" s="143" customFormat="1" x14ac:dyDescent="0.2">
      <c r="A63" s="624"/>
      <c r="B63" s="625"/>
      <c r="C63" s="625"/>
      <c r="D63" s="625"/>
      <c r="E63" s="625"/>
      <c r="F63" s="625"/>
      <c r="G63" s="625"/>
      <c r="H63" s="625"/>
      <c r="I63" s="625"/>
      <c r="J63" s="626"/>
    </row>
    <row r="64" spans="1:10" s="143" customFormat="1" x14ac:dyDescent="0.2">
      <c r="A64" s="624"/>
      <c r="B64" s="625"/>
      <c r="C64" s="625"/>
      <c r="D64" s="625"/>
      <c r="E64" s="625"/>
      <c r="F64" s="625"/>
      <c r="G64" s="625"/>
      <c r="H64" s="625"/>
      <c r="I64" s="625"/>
      <c r="J64" s="626"/>
    </row>
    <row r="65" spans="1:10" s="143" customFormat="1" x14ac:dyDescent="0.2">
      <c r="A65" s="624"/>
      <c r="B65" s="625"/>
      <c r="C65" s="625"/>
      <c r="D65" s="625"/>
      <c r="E65" s="625"/>
      <c r="F65" s="625"/>
      <c r="G65" s="625"/>
      <c r="H65" s="625"/>
      <c r="I65" s="625"/>
      <c r="J65" s="626"/>
    </row>
    <row r="66" spans="1:10" s="143" customFormat="1" x14ac:dyDescent="0.2">
      <c r="A66" s="624"/>
      <c r="B66" s="625"/>
      <c r="C66" s="625"/>
      <c r="D66" s="625"/>
      <c r="E66" s="625"/>
      <c r="F66" s="625"/>
      <c r="G66" s="625"/>
      <c r="H66" s="625"/>
      <c r="I66" s="625"/>
      <c r="J66" s="626"/>
    </row>
    <row r="67" spans="1:10" ht="12.75" customHeight="1" x14ac:dyDescent="0.2">
      <c r="A67" s="624"/>
      <c r="B67" s="625"/>
      <c r="C67" s="625"/>
      <c r="D67" s="625"/>
      <c r="E67" s="625"/>
      <c r="F67" s="625"/>
      <c r="G67" s="625"/>
      <c r="H67" s="625"/>
      <c r="I67" s="625"/>
      <c r="J67" s="626"/>
    </row>
    <row r="68" spans="1:10" ht="12.75" customHeight="1" x14ac:dyDescent="0.2">
      <c r="A68" s="624"/>
      <c r="B68" s="625"/>
      <c r="C68" s="625"/>
      <c r="D68" s="625"/>
      <c r="E68" s="625"/>
      <c r="F68" s="625"/>
      <c r="G68" s="625"/>
      <c r="H68" s="625"/>
      <c r="I68" s="625"/>
      <c r="J68" s="626"/>
    </row>
    <row r="69" spans="1:10" ht="12.75" customHeight="1" x14ac:dyDescent="0.2">
      <c r="A69" s="624"/>
      <c r="B69" s="625"/>
      <c r="C69" s="625"/>
      <c r="D69" s="625"/>
      <c r="E69" s="625"/>
      <c r="F69" s="625"/>
      <c r="G69" s="625"/>
      <c r="H69" s="625"/>
      <c r="I69" s="625"/>
      <c r="J69" s="626"/>
    </row>
    <row r="70" spans="1:10" ht="15" customHeight="1" x14ac:dyDescent="0.2">
      <c r="A70" s="624"/>
      <c r="B70" s="625"/>
      <c r="C70" s="625"/>
      <c r="D70" s="625"/>
      <c r="E70" s="625"/>
      <c r="F70" s="625"/>
      <c r="G70" s="625"/>
      <c r="H70" s="625"/>
      <c r="I70" s="625"/>
      <c r="J70" s="626"/>
    </row>
    <row r="71" spans="1:10" s="143" customFormat="1" ht="12.75" customHeight="1" x14ac:dyDescent="0.2">
      <c r="A71" s="624"/>
      <c r="B71" s="625"/>
      <c r="C71" s="625"/>
      <c r="D71" s="625"/>
      <c r="E71" s="625"/>
      <c r="F71" s="625"/>
      <c r="G71" s="625"/>
      <c r="H71" s="625"/>
      <c r="I71" s="625"/>
      <c r="J71" s="626"/>
    </row>
    <row r="72" spans="1:10" s="143" customFormat="1" x14ac:dyDescent="0.2">
      <c r="A72" s="624"/>
      <c r="B72" s="625"/>
      <c r="C72" s="625"/>
      <c r="D72" s="625"/>
      <c r="E72" s="625"/>
      <c r="F72" s="625"/>
      <c r="G72" s="625"/>
      <c r="H72" s="625"/>
      <c r="I72" s="625"/>
      <c r="J72" s="626"/>
    </row>
    <row r="73" spans="1:10" s="143" customFormat="1" x14ac:dyDescent="0.2">
      <c r="A73" s="624"/>
      <c r="B73" s="625"/>
      <c r="C73" s="625"/>
      <c r="D73" s="625"/>
      <c r="E73" s="625"/>
      <c r="F73" s="625"/>
      <c r="G73" s="625"/>
      <c r="H73" s="625"/>
      <c r="I73" s="625"/>
      <c r="J73" s="626"/>
    </row>
    <row r="74" spans="1:10" s="143" customFormat="1" x14ac:dyDescent="0.2">
      <c r="A74" s="624"/>
      <c r="B74" s="625"/>
      <c r="C74" s="625"/>
      <c r="D74" s="625"/>
      <c r="E74" s="625"/>
      <c r="F74" s="625"/>
      <c r="G74" s="625"/>
      <c r="H74" s="625"/>
      <c r="I74" s="625"/>
      <c r="J74" s="626"/>
    </row>
    <row r="75" spans="1:10" s="143" customFormat="1" x14ac:dyDescent="0.2">
      <c r="A75" s="624"/>
      <c r="B75" s="625"/>
      <c r="C75" s="625"/>
      <c r="D75" s="625"/>
      <c r="E75" s="625"/>
      <c r="F75" s="625"/>
      <c r="G75" s="625"/>
      <c r="H75" s="625"/>
      <c r="I75" s="625"/>
      <c r="J75" s="626"/>
    </row>
    <row r="76" spans="1:10" s="143" customFormat="1" x14ac:dyDescent="0.2">
      <c r="A76" s="624"/>
      <c r="B76" s="625"/>
      <c r="C76" s="625"/>
      <c r="D76" s="625"/>
      <c r="E76" s="625"/>
      <c r="F76" s="625"/>
      <c r="G76" s="625"/>
      <c r="H76" s="625"/>
      <c r="I76" s="625"/>
      <c r="J76" s="626"/>
    </row>
    <row r="77" spans="1:10" s="143" customFormat="1" x14ac:dyDescent="0.2">
      <c r="A77" s="624"/>
      <c r="B77" s="625"/>
      <c r="C77" s="625"/>
      <c r="D77" s="625"/>
      <c r="E77" s="625"/>
      <c r="F77" s="625"/>
      <c r="G77" s="625"/>
      <c r="H77" s="625"/>
      <c r="I77" s="625"/>
      <c r="J77" s="626"/>
    </row>
    <row r="78" spans="1:10" s="143" customFormat="1" x14ac:dyDescent="0.2">
      <c r="A78" s="624"/>
      <c r="B78" s="625"/>
      <c r="C78" s="625"/>
      <c r="D78" s="625"/>
      <c r="E78" s="625"/>
      <c r="F78" s="625"/>
      <c r="G78" s="625"/>
      <c r="H78" s="625"/>
      <c r="I78" s="625"/>
      <c r="J78" s="626"/>
    </row>
    <row r="79" spans="1:10" s="143" customFormat="1" x14ac:dyDescent="0.2">
      <c r="A79" s="624"/>
      <c r="B79" s="625"/>
      <c r="C79" s="625"/>
      <c r="D79" s="625"/>
      <c r="E79" s="625"/>
      <c r="F79" s="625"/>
      <c r="G79" s="625"/>
      <c r="H79" s="625"/>
      <c r="I79" s="625"/>
      <c r="J79" s="626"/>
    </row>
    <row r="80" spans="1:10" s="143" customFormat="1" x14ac:dyDescent="0.2">
      <c r="A80" s="624"/>
      <c r="B80" s="625"/>
      <c r="C80" s="625"/>
      <c r="D80" s="625"/>
      <c r="E80" s="625"/>
      <c r="F80" s="625"/>
      <c r="G80" s="625"/>
      <c r="H80" s="625"/>
      <c r="I80" s="625"/>
      <c r="J80" s="626"/>
    </row>
    <row r="81" spans="1:10" s="143" customFormat="1" x14ac:dyDescent="0.2">
      <c r="A81" s="624"/>
      <c r="B81" s="625"/>
      <c r="C81" s="625"/>
      <c r="D81" s="625"/>
      <c r="E81" s="625"/>
      <c r="F81" s="625"/>
      <c r="G81" s="625"/>
      <c r="H81" s="625"/>
      <c r="I81" s="625"/>
      <c r="J81" s="626"/>
    </row>
    <row r="82" spans="1:10" s="143" customFormat="1" x14ac:dyDescent="0.2">
      <c r="A82" s="624"/>
      <c r="B82" s="625"/>
      <c r="C82" s="625"/>
      <c r="D82" s="625"/>
      <c r="E82" s="625"/>
      <c r="F82" s="625"/>
      <c r="G82" s="625"/>
      <c r="H82" s="625"/>
      <c r="I82" s="625"/>
      <c r="J82" s="626"/>
    </row>
    <row r="83" spans="1:10" s="143" customFormat="1" x14ac:dyDescent="0.2">
      <c r="A83" s="627"/>
      <c r="B83" s="628"/>
      <c r="C83" s="628"/>
      <c r="D83" s="628"/>
      <c r="E83" s="628"/>
      <c r="F83" s="628"/>
      <c r="G83" s="628"/>
      <c r="H83" s="628"/>
      <c r="I83" s="628"/>
      <c r="J83" s="629"/>
    </row>
    <row r="84" spans="1:10" s="143" customFormat="1" x14ac:dyDescent="0.2">
      <c r="A84" s="161"/>
      <c r="B84" s="160"/>
      <c r="C84" s="157"/>
      <c r="D84" s="159"/>
      <c r="E84" s="159"/>
      <c r="F84" s="159"/>
      <c r="G84" s="159"/>
      <c r="H84" s="158"/>
      <c r="I84" s="157"/>
      <c r="J84" s="156"/>
    </row>
    <row r="85" spans="1:10" x14ac:dyDescent="0.2">
      <c r="A85" s="603" t="s">
        <v>149</v>
      </c>
      <c r="B85" s="604"/>
      <c r="C85" s="604"/>
      <c r="D85" s="604"/>
      <c r="E85" s="604"/>
      <c r="F85" s="604"/>
      <c r="G85" s="604"/>
      <c r="H85" s="604"/>
      <c r="I85" s="604"/>
      <c r="J85" s="605"/>
    </row>
    <row r="86" spans="1:10" x14ac:dyDescent="0.2">
      <c r="A86" s="606"/>
      <c r="B86" s="607"/>
      <c r="C86" s="607"/>
      <c r="D86" s="607"/>
      <c r="E86" s="607"/>
      <c r="F86" s="607"/>
      <c r="G86" s="607"/>
      <c r="H86" s="607"/>
      <c r="I86" s="607"/>
      <c r="J86" s="608"/>
    </row>
    <row r="87" spans="1:10" ht="12.75" customHeight="1" x14ac:dyDescent="0.2">
      <c r="A87" s="609" t="s">
        <v>339</v>
      </c>
      <c r="B87" s="610"/>
      <c r="C87" s="610"/>
      <c r="D87" s="610"/>
      <c r="E87" s="610"/>
      <c r="F87" s="610"/>
      <c r="G87" s="610"/>
      <c r="H87" s="610"/>
      <c r="I87" s="610"/>
      <c r="J87" s="611"/>
    </row>
    <row r="88" spans="1:10" ht="12.75" customHeight="1" x14ac:dyDescent="0.2">
      <c r="A88" s="612"/>
      <c r="B88" s="613"/>
      <c r="C88" s="613"/>
      <c r="D88" s="613"/>
      <c r="E88" s="613"/>
      <c r="F88" s="613"/>
      <c r="G88" s="613"/>
      <c r="H88" s="613"/>
      <c r="I88" s="613"/>
      <c r="J88" s="614"/>
    </row>
    <row r="89" spans="1:10" ht="12.75" customHeight="1" x14ac:dyDescent="0.2">
      <c r="A89" s="612"/>
      <c r="B89" s="613"/>
      <c r="C89" s="613"/>
      <c r="D89" s="613"/>
      <c r="E89" s="613"/>
      <c r="F89" s="613"/>
      <c r="G89" s="613"/>
      <c r="H89" s="613"/>
      <c r="I89" s="613"/>
      <c r="J89" s="614"/>
    </row>
    <row r="90" spans="1:10" ht="15" customHeight="1" x14ac:dyDescent="0.2">
      <c r="A90" s="615"/>
      <c r="B90" s="616"/>
      <c r="C90" s="616"/>
      <c r="D90" s="616"/>
      <c r="E90" s="616"/>
      <c r="F90" s="616"/>
      <c r="G90" s="616"/>
      <c r="H90" s="616"/>
      <c r="I90" s="616"/>
      <c r="J90" s="617"/>
    </row>
    <row r="91" spans="1:10" s="143" customFormat="1" ht="12.75" customHeight="1" x14ac:dyDescent="0.2">
      <c r="A91" s="475" t="s">
        <v>150</v>
      </c>
      <c r="B91" s="476"/>
      <c r="C91" s="476"/>
      <c r="D91" s="476"/>
      <c r="E91" s="476"/>
      <c r="F91" s="495">
        <v>166224.56</v>
      </c>
      <c r="G91" s="495"/>
      <c r="H91" s="495"/>
      <c r="I91" s="495"/>
      <c r="J91" s="496"/>
    </row>
    <row r="92" spans="1:10" ht="12.75" customHeight="1" x14ac:dyDescent="0.2">
      <c r="A92" s="609" t="s">
        <v>343</v>
      </c>
      <c r="B92" s="610"/>
      <c r="C92" s="610"/>
      <c r="D92" s="610"/>
      <c r="E92" s="610"/>
      <c r="F92" s="610"/>
      <c r="G92" s="610"/>
      <c r="H92" s="610"/>
      <c r="I92" s="610"/>
      <c r="J92" s="611"/>
    </row>
    <row r="93" spans="1:10" ht="12.75" customHeight="1" x14ac:dyDescent="0.2">
      <c r="A93" s="612"/>
      <c r="B93" s="613"/>
      <c r="C93" s="613"/>
      <c r="D93" s="613"/>
      <c r="E93" s="613"/>
      <c r="F93" s="613"/>
      <c r="G93" s="613"/>
      <c r="H93" s="613"/>
      <c r="I93" s="613"/>
      <c r="J93" s="614"/>
    </row>
    <row r="94" spans="1:10" ht="12.75" customHeight="1" x14ac:dyDescent="0.2">
      <c r="A94" s="612"/>
      <c r="B94" s="613"/>
      <c r="C94" s="613"/>
      <c r="D94" s="613"/>
      <c r="E94" s="613"/>
      <c r="F94" s="613"/>
      <c r="G94" s="613"/>
      <c r="H94" s="613"/>
      <c r="I94" s="613"/>
      <c r="J94" s="614"/>
    </row>
    <row r="95" spans="1:10" ht="15" customHeight="1" x14ac:dyDescent="0.2">
      <c r="A95" s="615"/>
      <c r="B95" s="616"/>
      <c r="C95" s="616"/>
      <c r="D95" s="616"/>
      <c r="E95" s="616"/>
      <c r="F95" s="616"/>
      <c r="G95" s="616"/>
      <c r="H95" s="616"/>
      <c r="I95" s="616"/>
      <c r="J95" s="617"/>
    </row>
    <row r="96" spans="1:10" s="143" customFormat="1" ht="12.75" customHeight="1" x14ac:dyDescent="0.2">
      <c r="A96" s="630" t="s">
        <v>1086</v>
      </c>
      <c r="B96" s="631"/>
      <c r="C96" s="631"/>
      <c r="D96" s="631"/>
      <c r="E96" s="631"/>
      <c r="F96" s="631"/>
      <c r="G96" s="631"/>
      <c r="H96" s="631"/>
      <c r="I96" s="631"/>
      <c r="J96" s="632"/>
    </row>
    <row r="97" spans="1:10" s="143" customFormat="1" x14ac:dyDescent="0.2">
      <c r="A97" s="633"/>
      <c r="B97" s="634"/>
      <c r="C97" s="634"/>
      <c r="D97" s="634"/>
      <c r="E97" s="634"/>
      <c r="F97" s="634"/>
      <c r="G97" s="634"/>
      <c r="H97" s="634"/>
      <c r="I97" s="634"/>
      <c r="J97" s="635"/>
    </row>
    <row r="98" spans="1:10" s="143" customFormat="1" x14ac:dyDescent="0.2">
      <c r="A98" s="633"/>
      <c r="B98" s="634"/>
      <c r="C98" s="634"/>
      <c r="D98" s="634"/>
      <c r="E98" s="634"/>
      <c r="F98" s="634"/>
      <c r="G98" s="634"/>
      <c r="H98" s="634"/>
      <c r="I98" s="634"/>
      <c r="J98" s="635"/>
    </row>
    <row r="99" spans="1:10" s="143" customFormat="1" x14ac:dyDescent="0.2">
      <c r="A99" s="633"/>
      <c r="B99" s="634"/>
      <c r="C99" s="634"/>
      <c r="D99" s="634"/>
      <c r="E99" s="634"/>
      <c r="F99" s="634"/>
      <c r="G99" s="634"/>
      <c r="H99" s="634"/>
      <c r="I99" s="634"/>
      <c r="J99" s="635"/>
    </row>
    <row r="100" spans="1:10" s="143" customFormat="1" x14ac:dyDescent="0.2">
      <c r="A100" s="633"/>
      <c r="B100" s="634"/>
      <c r="C100" s="634"/>
      <c r="D100" s="634"/>
      <c r="E100" s="634"/>
      <c r="F100" s="634"/>
      <c r="G100" s="634"/>
      <c r="H100" s="634"/>
      <c r="I100" s="634"/>
      <c r="J100" s="635"/>
    </row>
    <row r="101" spans="1:10" s="143" customFormat="1" x14ac:dyDescent="0.2">
      <c r="A101" s="633"/>
      <c r="B101" s="634"/>
      <c r="C101" s="634"/>
      <c r="D101" s="634"/>
      <c r="E101" s="634"/>
      <c r="F101" s="634"/>
      <c r="G101" s="634"/>
      <c r="H101" s="634"/>
      <c r="I101" s="634"/>
      <c r="J101" s="635"/>
    </row>
    <row r="102" spans="1:10" s="143" customFormat="1" x14ac:dyDescent="0.2">
      <c r="A102" s="633"/>
      <c r="B102" s="634"/>
      <c r="C102" s="634"/>
      <c r="D102" s="634"/>
      <c r="E102" s="634"/>
      <c r="F102" s="634"/>
      <c r="G102" s="634"/>
      <c r="H102" s="634"/>
      <c r="I102" s="634"/>
      <c r="J102" s="635"/>
    </row>
    <row r="103" spans="1:10" s="143" customFormat="1" x14ac:dyDescent="0.2">
      <c r="A103" s="633"/>
      <c r="B103" s="634"/>
      <c r="C103" s="634"/>
      <c r="D103" s="634"/>
      <c r="E103" s="634"/>
      <c r="F103" s="634"/>
      <c r="G103" s="634"/>
      <c r="H103" s="634"/>
      <c r="I103" s="634"/>
      <c r="J103" s="635"/>
    </row>
    <row r="104" spans="1:10" s="143" customFormat="1" x14ac:dyDescent="0.2">
      <c r="A104" s="633"/>
      <c r="B104" s="634"/>
      <c r="C104" s="634"/>
      <c r="D104" s="634"/>
      <c r="E104" s="634"/>
      <c r="F104" s="634"/>
      <c r="G104" s="634"/>
      <c r="H104" s="634"/>
      <c r="I104" s="634"/>
      <c r="J104" s="635"/>
    </row>
    <row r="105" spans="1:10" s="143" customFormat="1" x14ac:dyDescent="0.2">
      <c r="A105" s="633"/>
      <c r="B105" s="634"/>
      <c r="C105" s="634"/>
      <c r="D105" s="634"/>
      <c r="E105" s="634"/>
      <c r="F105" s="634"/>
      <c r="G105" s="634"/>
      <c r="H105" s="634"/>
      <c r="I105" s="634"/>
      <c r="J105" s="635"/>
    </row>
    <row r="106" spans="1:10" s="143" customFormat="1" x14ac:dyDescent="0.2">
      <c r="A106" s="633"/>
      <c r="B106" s="634"/>
      <c r="C106" s="634"/>
      <c r="D106" s="634"/>
      <c r="E106" s="634"/>
      <c r="F106" s="634"/>
      <c r="G106" s="634"/>
      <c r="H106" s="634"/>
      <c r="I106" s="634"/>
      <c r="J106" s="635"/>
    </row>
    <row r="107" spans="1:10" s="143" customFormat="1" x14ac:dyDescent="0.2">
      <c r="A107" s="633"/>
      <c r="B107" s="634"/>
      <c r="C107" s="634"/>
      <c r="D107" s="634"/>
      <c r="E107" s="634"/>
      <c r="F107" s="634"/>
      <c r="G107" s="634"/>
      <c r="H107" s="634"/>
      <c r="I107" s="634"/>
      <c r="J107" s="635"/>
    </row>
    <row r="108" spans="1:10" s="143" customFormat="1" x14ac:dyDescent="0.2">
      <c r="A108" s="633"/>
      <c r="B108" s="634"/>
      <c r="C108" s="634"/>
      <c r="D108" s="634"/>
      <c r="E108" s="634"/>
      <c r="F108" s="634"/>
      <c r="G108" s="634"/>
      <c r="H108" s="634"/>
      <c r="I108" s="634"/>
      <c r="J108" s="635"/>
    </row>
    <row r="109" spans="1:10" ht="12.75" customHeight="1" x14ac:dyDescent="0.2">
      <c r="A109" s="633"/>
      <c r="B109" s="634"/>
      <c r="C109" s="634"/>
      <c r="D109" s="634"/>
      <c r="E109" s="634"/>
      <c r="F109" s="634"/>
      <c r="G109" s="634"/>
      <c r="H109" s="634"/>
      <c r="I109" s="634"/>
      <c r="J109" s="635"/>
    </row>
    <row r="110" spans="1:10" ht="12.75" customHeight="1" x14ac:dyDescent="0.2">
      <c r="A110" s="633"/>
      <c r="B110" s="634"/>
      <c r="C110" s="634"/>
      <c r="D110" s="634"/>
      <c r="E110" s="634"/>
      <c r="F110" s="634"/>
      <c r="G110" s="634"/>
      <c r="H110" s="634"/>
      <c r="I110" s="634"/>
      <c r="J110" s="635"/>
    </row>
    <row r="111" spans="1:10" ht="12.75" customHeight="1" x14ac:dyDescent="0.2">
      <c r="A111" s="633"/>
      <c r="B111" s="634"/>
      <c r="C111" s="634"/>
      <c r="D111" s="634"/>
      <c r="E111" s="634"/>
      <c r="F111" s="634"/>
      <c r="G111" s="634"/>
      <c r="H111" s="634"/>
      <c r="I111" s="634"/>
      <c r="J111" s="635"/>
    </row>
    <row r="112" spans="1:10" ht="15" customHeight="1" x14ac:dyDescent="0.2">
      <c r="A112" s="633"/>
      <c r="B112" s="634"/>
      <c r="C112" s="634"/>
      <c r="D112" s="634"/>
      <c r="E112" s="634"/>
      <c r="F112" s="634"/>
      <c r="G112" s="634"/>
      <c r="H112" s="634"/>
      <c r="I112" s="634"/>
      <c r="J112" s="635"/>
    </row>
    <row r="113" spans="1:10" s="143" customFormat="1" ht="12.75" customHeight="1" x14ac:dyDescent="0.2">
      <c r="A113" s="633"/>
      <c r="B113" s="634"/>
      <c r="C113" s="634"/>
      <c r="D113" s="634"/>
      <c r="E113" s="634"/>
      <c r="F113" s="634"/>
      <c r="G113" s="634"/>
      <c r="H113" s="634"/>
      <c r="I113" s="634"/>
      <c r="J113" s="635"/>
    </row>
    <row r="114" spans="1:10" s="143" customFormat="1" x14ac:dyDescent="0.2">
      <c r="A114" s="633"/>
      <c r="B114" s="634"/>
      <c r="C114" s="634"/>
      <c r="D114" s="634"/>
      <c r="E114" s="634"/>
      <c r="F114" s="634"/>
      <c r="G114" s="634"/>
      <c r="H114" s="634"/>
      <c r="I114" s="634"/>
      <c r="J114" s="635"/>
    </row>
    <row r="115" spans="1:10" s="143" customFormat="1" x14ac:dyDescent="0.2">
      <c r="A115" s="633"/>
      <c r="B115" s="634"/>
      <c r="C115" s="634"/>
      <c r="D115" s="634"/>
      <c r="E115" s="634"/>
      <c r="F115" s="634"/>
      <c r="G115" s="634"/>
      <c r="H115" s="634"/>
      <c r="I115" s="634"/>
      <c r="J115" s="635"/>
    </row>
    <row r="116" spans="1:10" s="143" customFormat="1" x14ac:dyDescent="0.2">
      <c r="A116" s="633"/>
      <c r="B116" s="634"/>
      <c r="C116" s="634"/>
      <c r="D116" s="634"/>
      <c r="E116" s="634"/>
      <c r="F116" s="634"/>
      <c r="G116" s="634"/>
      <c r="H116" s="634"/>
      <c r="I116" s="634"/>
      <c r="J116" s="635"/>
    </row>
    <row r="117" spans="1:10" s="143" customFormat="1" x14ac:dyDescent="0.2">
      <c r="A117" s="633"/>
      <c r="B117" s="634"/>
      <c r="C117" s="634"/>
      <c r="D117" s="634"/>
      <c r="E117" s="634"/>
      <c r="F117" s="634"/>
      <c r="G117" s="634"/>
      <c r="H117" s="634"/>
      <c r="I117" s="634"/>
      <c r="J117" s="635"/>
    </row>
    <row r="118" spans="1:10" s="143" customFormat="1" x14ac:dyDescent="0.2">
      <c r="A118" s="633"/>
      <c r="B118" s="634"/>
      <c r="C118" s="634"/>
      <c r="D118" s="634"/>
      <c r="E118" s="634"/>
      <c r="F118" s="634"/>
      <c r="G118" s="634"/>
      <c r="H118" s="634"/>
      <c r="I118" s="634"/>
      <c r="J118" s="635"/>
    </row>
    <row r="119" spans="1:10" s="143" customFormat="1" x14ac:dyDescent="0.2">
      <c r="A119" s="633"/>
      <c r="B119" s="634"/>
      <c r="C119" s="634"/>
      <c r="D119" s="634"/>
      <c r="E119" s="634"/>
      <c r="F119" s="634"/>
      <c r="G119" s="634"/>
      <c r="H119" s="634"/>
      <c r="I119" s="634"/>
      <c r="J119" s="635"/>
    </row>
    <row r="120" spans="1:10" s="143" customFormat="1" x14ac:dyDescent="0.2">
      <c r="A120" s="633"/>
      <c r="B120" s="634"/>
      <c r="C120" s="634"/>
      <c r="D120" s="634"/>
      <c r="E120" s="634"/>
      <c r="F120" s="634"/>
      <c r="G120" s="634"/>
      <c r="H120" s="634"/>
      <c r="I120" s="634"/>
      <c r="J120" s="635"/>
    </row>
    <row r="121" spans="1:10" s="143" customFormat="1" x14ac:dyDescent="0.2">
      <c r="A121" s="633"/>
      <c r="B121" s="634"/>
      <c r="C121" s="634"/>
      <c r="D121" s="634"/>
      <c r="E121" s="634"/>
      <c r="F121" s="634"/>
      <c r="G121" s="634"/>
      <c r="H121" s="634"/>
      <c r="I121" s="634"/>
      <c r="J121" s="635"/>
    </row>
    <row r="122" spans="1:10" s="143" customFormat="1" x14ac:dyDescent="0.2">
      <c r="A122" s="633"/>
      <c r="B122" s="634"/>
      <c r="C122" s="634"/>
      <c r="D122" s="634"/>
      <c r="E122" s="634"/>
      <c r="F122" s="634"/>
      <c r="G122" s="634"/>
      <c r="H122" s="634"/>
      <c r="I122" s="634"/>
      <c r="J122" s="635"/>
    </row>
    <row r="123" spans="1:10" s="143" customFormat="1" x14ac:dyDescent="0.2">
      <c r="A123" s="633"/>
      <c r="B123" s="634"/>
      <c r="C123" s="634"/>
      <c r="D123" s="634"/>
      <c r="E123" s="634"/>
      <c r="F123" s="634"/>
      <c r="G123" s="634"/>
      <c r="H123" s="634"/>
      <c r="I123" s="634"/>
      <c r="J123" s="635"/>
    </row>
    <row r="124" spans="1:10" s="143" customFormat="1" x14ac:dyDescent="0.2">
      <c r="A124" s="633"/>
      <c r="B124" s="634"/>
      <c r="C124" s="634"/>
      <c r="D124" s="634"/>
      <c r="E124" s="634"/>
      <c r="F124" s="634"/>
      <c r="G124" s="634"/>
      <c r="H124" s="634"/>
      <c r="I124" s="634"/>
      <c r="J124" s="635"/>
    </row>
    <row r="125" spans="1:10" s="143" customFormat="1" x14ac:dyDescent="0.2">
      <c r="A125" s="636"/>
      <c r="B125" s="637"/>
      <c r="C125" s="637"/>
      <c r="D125" s="637"/>
      <c r="E125" s="637"/>
      <c r="F125" s="637"/>
      <c r="G125" s="637"/>
      <c r="H125" s="637"/>
      <c r="I125" s="637"/>
      <c r="J125" s="638"/>
    </row>
    <row r="126" spans="1:10" s="143" customFormat="1" x14ac:dyDescent="0.2">
      <c r="A126" s="161"/>
      <c r="B126" s="160"/>
      <c r="C126" s="157"/>
      <c r="D126" s="159"/>
      <c r="E126" s="159"/>
      <c r="F126" s="159"/>
      <c r="G126" s="159"/>
      <c r="H126" s="158"/>
      <c r="I126" s="157"/>
      <c r="J126" s="156"/>
    </row>
    <row r="127" spans="1:10" ht="12.75" customHeight="1" x14ac:dyDescent="0.2">
      <c r="A127" s="603" t="s">
        <v>153</v>
      </c>
      <c r="B127" s="604"/>
      <c r="C127" s="604"/>
      <c r="D127" s="604"/>
      <c r="E127" s="604"/>
      <c r="F127" s="604"/>
      <c r="G127" s="604"/>
      <c r="H127" s="604"/>
      <c r="I127" s="604"/>
      <c r="J127" s="605"/>
    </row>
    <row r="128" spans="1:10" x14ac:dyDescent="0.2">
      <c r="A128" s="606"/>
      <c r="B128" s="607"/>
      <c r="C128" s="607"/>
      <c r="D128" s="607"/>
      <c r="E128" s="607"/>
      <c r="F128" s="607"/>
      <c r="G128" s="607"/>
      <c r="H128" s="607"/>
      <c r="I128" s="607"/>
      <c r="J128" s="608"/>
    </row>
    <row r="129" spans="1:10" ht="12.75" customHeight="1" x14ac:dyDescent="0.2">
      <c r="A129" s="609" t="s">
        <v>340</v>
      </c>
      <c r="B129" s="610"/>
      <c r="C129" s="610"/>
      <c r="D129" s="610"/>
      <c r="E129" s="610"/>
      <c r="F129" s="610"/>
      <c r="G129" s="610"/>
      <c r="H129" s="610"/>
      <c r="I129" s="610"/>
      <c r="J129" s="611"/>
    </row>
    <row r="130" spans="1:10" ht="12.75" customHeight="1" x14ac:dyDescent="0.2">
      <c r="A130" s="612"/>
      <c r="B130" s="613"/>
      <c r="C130" s="613"/>
      <c r="D130" s="613"/>
      <c r="E130" s="613"/>
      <c r="F130" s="613"/>
      <c r="G130" s="613"/>
      <c r="H130" s="613"/>
      <c r="I130" s="613"/>
      <c r="J130" s="614"/>
    </row>
    <row r="131" spans="1:10" ht="12.75" customHeight="1" x14ac:dyDescent="0.2">
      <c r="A131" s="612"/>
      <c r="B131" s="613"/>
      <c r="C131" s="613"/>
      <c r="D131" s="613"/>
      <c r="E131" s="613"/>
      <c r="F131" s="613"/>
      <c r="G131" s="613"/>
      <c r="H131" s="613"/>
      <c r="I131" s="613"/>
      <c r="J131" s="614"/>
    </row>
    <row r="132" spans="1:10" ht="15" customHeight="1" x14ac:dyDescent="0.2">
      <c r="A132" s="615"/>
      <c r="B132" s="616"/>
      <c r="C132" s="616"/>
      <c r="D132" s="616"/>
      <c r="E132" s="616"/>
      <c r="F132" s="616"/>
      <c r="G132" s="616"/>
      <c r="H132" s="616"/>
      <c r="I132" s="616"/>
      <c r="J132" s="617"/>
    </row>
    <row r="133" spans="1:10" s="143" customFormat="1" ht="12.75" customHeight="1" x14ac:dyDescent="0.2">
      <c r="A133" s="475" t="s">
        <v>151</v>
      </c>
      <c r="B133" s="476"/>
      <c r="C133" s="476"/>
      <c r="D133" s="476"/>
      <c r="E133" s="476"/>
      <c r="F133" s="495">
        <v>137341</v>
      </c>
      <c r="G133" s="495"/>
      <c r="H133" s="495"/>
      <c r="I133" s="495"/>
      <c r="J133" s="496"/>
    </row>
    <row r="134" spans="1:10" ht="12.75" customHeight="1" x14ac:dyDescent="0.2">
      <c r="A134" s="609" t="s">
        <v>152</v>
      </c>
      <c r="B134" s="610"/>
      <c r="C134" s="610"/>
      <c r="D134" s="610"/>
      <c r="E134" s="610"/>
      <c r="F134" s="610"/>
      <c r="G134" s="610"/>
      <c r="H134" s="610"/>
      <c r="I134" s="610"/>
      <c r="J134" s="611"/>
    </row>
    <row r="135" spans="1:10" ht="12.75" customHeight="1" x14ac:dyDescent="0.2">
      <c r="A135" s="612"/>
      <c r="B135" s="613"/>
      <c r="C135" s="613"/>
      <c r="D135" s="613"/>
      <c r="E135" s="613"/>
      <c r="F135" s="613"/>
      <c r="G135" s="613"/>
      <c r="H135" s="613"/>
      <c r="I135" s="613"/>
      <c r="J135" s="614"/>
    </row>
    <row r="136" spans="1:10" ht="12.75" customHeight="1" x14ac:dyDescent="0.2">
      <c r="A136" s="612"/>
      <c r="B136" s="613"/>
      <c r="C136" s="613"/>
      <c r="D136" s="613"/>
      <c r="E136" s="613"/>
      <c r="F136" s="613"/>
      <c r="G136" s="613"/>
      <c r="H136" s="613"/>
      <c r="I136" s="613"/>
      <c r="J136" s="614"/>
    </row>
    <row r="137" spans="1:10" ht="15" customHeight="1" x14ac:dyDescent="0.2">
      <c r="A137" s="615"/>
      <c r="B137" s="616"/>
      <c r="C137" s="616"/>
      <c r="D137" s="616"/>
      <c r="E137" s="616"/>
      <c r="F137" s="616"/>
      <c r="G137" s="616"/>
      <c r="H137" s="616"/>
      <c r="I137" s="616"/>
      <c r="J137" s="617"/>
    </row>
    <row r="138" spans="1:10" s="143" customFormat="1" ht="12.75" customHeight="1" x14ac:dyDescent="0.2">
      <c r="A138" s="618" t="s">
        <v>1047</v>
      </c>
      <c r="B138" s="619"/>
      <c r="C138" s="619"/>
      <c r="D138" s="619"/>
      <c r="E138" s="619"/>
      <c r="F138" s="619"/>
      <c r="G138" s="619"/>
      <c r="H138" s="619"/>
      <c r="I138" s="619"/>
      <c r="J138" s="620"/>
    </row>
    <row r="139" spans="1:10" s="143" customFormat="1" x14ac:dyDescent="0.2">
      <c r="A139" s="618"/>
      <c r="B139" s="619"/>
      <c r="C139" s="619"/>
      <c r="D139" s="619"/>
      <c r="E139" s="619"/>
      <c r="F139" s="619"/>
      <c r="G139" s="619"/>
      <c r="H139" s="619"/>
      <c r="I139" s="619"/>
      <c r="J139" s="620"/>
    </row>
    <row r="140" spans="1:10" s="143" customFormat="1" x14ac:dyDescent="0.2">
      <c r="A140" s="618"/>
      <c r="B140" s="619"/>
      <c r="C140" s="619"/>
      <c r="D140" s="619"/>
      <c r="E140" s="619"/>
      <c r="F140" s="619"/>
      <c r="G140" s="619"/>
      <c r="H140" s="619"/>
      <c r="I140" s="619"/>
      <c r="J140" s="620"/>
    </row>
    <row r="141" spans="1:10" s="143" customFormat="1" x14ac:dyDescent="0.2">
      <c r="A141" s="618"/>
      <c r="B141" s="619"/>
      <c r="C141" s="619"/>
      <c r="D141" s="619"/>
      <c r="E141" s="619"/>
      <c r="F141" s="619"/>
      <c r="G141" s="619"/>
      <c r="H141" s="619"/>
      <c r="I141" s="619"/>
      <c r="J141" s="620"/>
    </row>
    <row r="142" spans="1:10" s="143" customFormat="1" x14ac:dyDescent="0.2">
      <c r="A142" s="618"/>
      <c r="B142" s="619"/>
      <c r="C142" s="619"/>
      <c r="D142" s="619"/>
      <c r="E142" s="619"/>
      <c r="F142" s="619"/>
      <c r="G142" s="619"/>
      <c r="H142" s="619"/>
      <c r="I142" s="619"/>
      <c r="J142" s="620"/>
    </row>
    <row r="143" spans="1:10" s="143" customFormat="1" x14ac:dyDescent="0.2">
      <c r="A143" s="618"/>
      <c r="B143" s="619"/>
      <c r="C143" s="619"/>
      <c r="D143" s="619"/>
      <c r="E143" s="619"/>
      <c r="F143" s="619"/>
      <c r="G143" s="619"/>
      <c r="H143" s="619"/>
      <c r="I143" s="619"/>
      <c r="J143" s="620"/>
    </row>
    <row r="144" spans="1:10" s="143" customFormat="1" x14ac:dyDescent="0.2">
      <c r="A144" s="618"/>
      <c r="B144" s="619"/>
      <c r="C144" s="619"/>
      <c r="D144" s="619"/>
      <c r="E144" s="619"/>
      <c r="F144" s="619"/>
      <c r="G144" s="619"/>
      <c r="H144" s="619"/>
      <c r="I144" s="619"/>
      <c r="J144" s="620"/>
    </row>
    <row r="145" spans="1:10" s="143" customFormat="1" x14ac:dyDescent="0.2">
      <c r="A145" s="618"/>
      <c r="B145" s="619"/>
      <c r="C145" s="619"/>
      <c r="D145" s="619"/>
      <c r="E145" s="619"/>
      <c r="F145" s="619"/>
      <c r="G145" s="619"/>
      <c r="H145" s="619"/>
      <c r="I145" s="619"/>
      <c r="J145" s="620"/>
    </row>
    <row r="146" spans="1:10" s="143" customFormat="1" x14ac:dyDescent="0.2">
      <c r="A146" s="618"/>
      <c r="B146" s="619"/>
      <c r="C146" s="619"/>
      <c r="D146" s="619"/>
      <c r="E146" s="619"/>
      <c r="F146" s="619"/>
      <c r="G146" s="619"/>
      <c r="H146" s="619"/>
      <c r="I146" s="619"/>
      <c r="J146" s="620"/>
    </row>
    <row r="147" spans="1:10" s="143" customFormat="1" x14ac:dyDescent="0.2">
      <c r="A147" s="618"/>
      <c r="B147" s="619"/>
      <c r="C147" s="619"/>
      <c r="D147" s="619"/>
      <c r="E147" s="619"/>
      <c r="F147" s="619"/>
      <c r="G147" s="619"/>
      <c r="H147" s="619"/>
      <c r="I147" s="619"/>
      <c r="J147" s="620"/>
    </row>
    <row r="148" spans="1:10" s="143" customFormat="1" x14ac:dyDescent="0.2">
      <c r="A148" s="618"/>
      <c r="B148" s="619"/>
      <c r="C148" s="619"/>
      <c r="D148" s="619"/>
      <c r="E148" s="619"/>
      <c r="F148" s="619"/>
      <c r="G148" s="619"/>
      <c r="H148" s="619"/>
      <c r="I148" s="619"/>
      <c r="J148" s="620"/>
    </row>
    <row r="149" spans="1:10" s="143" customFormat="1" x14ac:dyDescent="0.2">
      <c r="A149" s="618"/>
      <c r="B149" s="619"/>
      <c r="C149" s="619"/>
      <c r="D149" s="619"/>
      <c r="E149" s="619"/>
      <c r="F149" s="619"/>
      <c r="G149" s="619"/>
      <c r="H149" s="619"/>
      <c r="I149" s="619"/>
      <c r="J149" s="620"/>
    </row>
    <row r="150" spans="1:10" s="143" customFormat="1" x14ac:dyDescent="0.2">
      <c r="A150" s="618"/>
      <c r="B150" s="619"/>
      <c r="C150" s="619"/>
      <c r="D150" s="619"/>
      <c r="E150" s="619"/>
      <c r="F150" s="619"/>
      <c r="G150" s="619"/>
      <c r="H150" s="619"/>
      <c r="I150" s="619"/>
      <c r="J150" s="620"/>
    </row>
    <row r="151" spans="1:10" ht="12.75" customHeight="1" x14ac:dyDescent="0.2">
      <c r="A151" s="609" t="s">
        <v>343</v>
      </c>
      <c r="B151" s="610"/>
      <c r="C151" s="610"/>
      <c r="D151" s="610"/>
      <c r="E151" s="610"/>
      <c r="F151" s="610"/>
      <c r="G151" s="610"/>
      <c r="H151" s="610"/>
      <c r="I151" s="610"/>
      <c r="J151" s="611"/>
    </row>
    <row r="152" spans="1:10" ht="12.75" customHeight="1" x14ac:dyDescent="0.2">
      <c r="A152" s="612"/>
      <c r="B152" s="613"/>
      <c r="C152" s="613"/>
      <c r="D152" s="613"/>
      <c r="E152" s="613"/>
      <c r="F152" s="613"/>
      <c r="G152" s="613"/>
      <c r="H152" s="613"/>
      <c r="I152" s="613"/>
      <c r="J152" s="614"/>
    </row>
    <row r="153" spans="1:10" ht="12.75" customHeight="1" x14ac:dyDescent="0.2">
      <c r="A153" s="612"/>
      <c r="B153" s="613"/>
      <c r="C153" s="613"/>
      <c r="D153" s="613"/>
      <c r="E153" s="613"/>
      <c r="F153" s="613"/>
      <c r="G153" s="613"/>
      <c r="H153" s="613"/>
      <c r="I153" s="613"/>
      <c r="J153" s="614"/>
    </row>
    <row r="154" spans="1:10" ht="15" customHeight="1" x14ac:dyDescent="0.2">
      <c r="A154" s="615"/>
      <c r="B154" s="616"/>
      <c r="C154" s="616"/>
      <c r="D154" s="616"/>
      <c r="E154" s="616"/>
      <c r="F154" s="616"/>
      <c r="G154" s="616"/>
      <c r="H154" s="616"/>
      <c r="I154" s="616"/>
      <c r="J154" s="617"/>
    </row>
    <row r="155" spans="1:10" s="143" customFormat="1" ht="12.75" customHeight="1" x14ac:dyDescent="0.2">
      <c r="A155" s="618" t="s">
        <v>1149</v>
      </c>
      <c r="B155" s="619"/>
      <c r="C155" s="619"/>
      <c r="D155" s="619"/>
      <c r="E155" s="619"/>
      <c r="F155" s="619"/>
      <c r="G155" s="619"/>
      <c r="H155" s="619"/>
      <c r="I155" s="619"/>
      <c r="J155" s="620"/>
    </row>
    <row r="156" spans="1:10" s="143" customFormat="1" x14ac:dyDescent="0.2">
      <c r="A156" s="618"/>
      <c r="B156" s="619"/>
      <c r="C156" s="619"/>
      <c r="D156" s="619"/>
      <c r="E156" s="619"/>
      <c r="F156" s="619"/>
      <c r="G156" s="619"/>
      <c r="H156" s="619"/>
      <c r="I156" s="619"/>
      <c r="J156" s="620"/>
    </row>
    <row r="157" spans="1:10" s="143" customFormat="1" x14ac:dyDescent="0.2">
      <c r="A157" s="618"/>
      <c r="B157" s="619"/>
      <c r="C157" s="619"/>
      <c r="D157" s="619"/>
      <c r="E157" s="619"/>
      <c r="F157" s="619"/>
      <c r="G157" s="619"/>
      <c r="H157" s="619"/>
      <c r="I157" s="619"/>
      <c r="J157" s="620"/>
    </row>
    <row r="158" spans="1:10" s="143" customFormat="1" x14ac:dyDescent="0.2">
      <c r="A158" s="618"/>
      <c r="B158" s="619"/>
      <c r="C158" s="619"/>
      <c r="D158" s="619"/>
      <c r="E158" s="619"/>
      <c r="F158" s="619"/>
      <c r="G158" s="619"/>
      <c r="H158" s="619"/>
      <c r="I158" s="619"/>
      <c r="J158" s="620"/>
    </row>
    <row r="159" spans="1:10" s="143" customFormat="1" x14ac:dyDescent="0.2">
      <c r="A159" s="618"/>
      <c r="B159" s="619"/>
      <c r="C159" s="619"/>
      <c r="D159" s="619"/>
      <c r="E159" s="619"/>
      <c r="F159" s="619"/>
      <c r="G159" s="619"/>
      <c r="H159" s="619"/>
      <c r="I159" s="619"/>
      <c r="J159" s="620"/>
    </row>
    <row r="160" spans="1:10" s="143" customFormat="1" x14ac:dyDescent="0.2">
      <c r="A160" s="618"/>
      <c r="B160" s="619"/>
      <c r="C160" s="619"/>
      <c r="D160" s="619"/>
      <c r="E160" s="619"/>
      <c r="F160" s="619"/>
      <c r="G160" s="619"/>
      <c r="H160" s="619"/>
      <c r="I160" s="619"/>
      <c r="J160" s="620"/>
    </row>
    <row r="161" spans="1:18" s="143" customFormat="1" x14ac:dyDescent="0.2">
      <c r="A161" s="618"/>
      <c r="B161" s="619"/>
      <c r="C161" s="619"/>
      <c r="D161" s="619"/>
      <c r="E161" s="619"/>
      <c r="F161" s="619"/>
      <c r="G161" s="619"/>
      <c r="H161" s="619"/>
      <c r="I161" s="619"/>
      <c r="J161" s="620"/>
    </row>
    <row r="162" spans="1:18" s="143" customFormat="1" x14ac:dyDescent="0.2">
      <c r="A162" s="618"/>
      <c r="B162" s="619"/>
      <c r="C162" s="619"/>
      <c r="D162" s="619"/>
      <c r="E162" s="619"/>
      <c r="F162" s="619"/>
      <c r="G162" s="619"/>
      <c r="H162" s="619"/>
      <c r="I162" s="619"/>
      <c r="J162" s="620"/>
    </row>
    <row r="163" spans="1:18" s="143" customFormat="1" x14ac:dyDescent="0.2">
      <c r="A163" s="618"/>
      <c r="B163" s="619"/>
      <c r="C163" s="619"/>
      <c r="D163" s="619"/>
      <c r="E163" s="619"/>
      <c r="F163" s="619"/>
      <c r="G163" s="619"/>
      <c r="H163" s="619"/>
      <c r="I163" s="619"/>
      <c r="J163" s="620"/>
    </row>
    <row r="164" spans="1:18" s="143" customFormat="1" x14ac:dyDescent="0.2">
      <c r="A164" s="618"/>
      <c r="B164" s="619"/>
      <c r="C164" s="619"/>
      <c r="D164" s="619"/>
      <c r="E164" s="619"/>
      <c r="F164" s="619"/>
      <c r="G164" s="619"/>
      <c r="H164" s="619"/>
      <c r="I164" s="619"/>
      <c r="J164" s="620"/>
    </row>
    <row r="165" spans="1:18" s="143" customFormat="1" x14ac:dyDescent="0.2">
      <c r="A165" s="618"/>
      <c r="B165" s="619"/>
      <c r="C165" s="619"/>
      <c r="D165" s="619"/>
      <c r="E165" s="619"/>
      <c r="F165" s="619"/>
      <c r="G165" s="619"/>
      <c r="H165" s="619"/>
      <c r="I165" s="619"/>
      <c r="J165" s="620"/>
    </row>
    <row r="166" spans="1:18" s="143" customFormat="1" x14ac:dyDescent="0.2">
      <c r="A166" s="618"/>
      <c r="B166" s="619"/>
      <c r="C166" s="619"/>
      <c r="D166" s="619"/>
      <c r="E166" s="619"/>
      <c r="F166" s="619"/>
      <c r="G166" s="619"/>
      <c r="H166" s="619"/>
      <c r="I166" s="619"/>
      <c r="J166" s="620"/>
    </row>
    <row r="167" spans="1:18" s="143" customFormat="1" x14ac:dyDescent="0.2">
      <c r="A167" s="618"/>
      <c r="B167" s="619"/>
      <c r="C167" s="619"/>
      <c r="D167" s="619"/>
      <c r="E167" s="619"/>
      <c r="F167" s="619"/>
      <c r="G167" s="619"/>
      <c r="H167" s="619"/>
      <c r="I167" s="619"/>
      <c r="J167" s="620"/>
    </row>
    <row r="168" spans="1:18" s="143" customFormat="1" x14ac:dyDescent="0.2">
      <c r="A168" s="161"/>
      <c r="B168" s="160"/>
      <c r="C168" s="157"/>
      <c r="D168" s="159"/>
      <c r="E168" s="159"/>
      <c r="F168" s="159"/>
      <c r="G168" s="159"/>
      <c r="H168" s="158"/>
      <c r="I168" s="157"/>
      <c r="J168" s="156"/>
    </row>
    <row r="169" spans="1:18" x14ac:dyDescent="0.2">
      <c r="A169" s="603" t="s">
        <v>155</v>
      </c>
      <c r="B169" s="604"/>
      <c r="C169" s="604"/>
      <c r="D169" s="604"/>
      <c r="E169" s="604"/>
      <c r="F169" s="604"/>
      <c r="G169" s="604"/>
      <c r="H169" s="604"/>
      <c r="I169" s="604"/>
      <c r="J169" s="605"/>
    </row>
    <row r="170" spans="1:18" x14ac:dyDescent="0.2">
      <c r="A170" s="606"/>
      <c r="B170" s="607"/>
      <c r="C170" s="607"/>
      <c r="D170" s="607"/>
      <c r="E170" s="607"/>
      <c r="F170" s="607"/>
      <c r="G170" s="607"/>
      <c r="H170" s="607"/>
      <c r="I170" s="607"/>
      <c r="J170" s="608"/>
    </row>
    <row r="171" spans="1:18" ht="12.75" customHeight="1" x14ac:dyDescent="0.2">
      <c r="A171" s="609" t="s">
        <v>347</v>
      </c>
      <c r="B171" s="610"/>
      <c r="C171" s="610"/>
      <c r="D171" s="610"/>
      <c r="E171" s="610"/>
      <c r="F171" s="610"/>
      <c r="G171" s="610"/>
      <c r="H171" s="610"/>
      <c r="I171" s="610"/>
      <c r="J171" s="611"/>
    </row>
    <row r="172" spans="1:18" ht="12.75" customHeight="1" x14ac:dyDescent="0.2">
      <c r="A172" s="612"/>
      <c r="B172" s="613"/>
      <c r="C172" s="613"/>
      <c r="D172" s="613"/>
      <c r="E172" s="613"/>
      <c r="F172" s="613"/>
      <c r="G172" s="613"/>
      <c r="H172" s="613"/>
      <c r="I172" s="613"/>
      <c r="J172" s="614"/>
      <c r="R172" s="319"/>
    </row>
    <row r="173" spans="1:18" ht="12.75" customHeight="1" x14ac:dyDescent="0.2">
      <c r="A173" s="612"/>
      <c r="B173" s="613"/>
      <c r="C173" s="613"/>
      <c r="D173" s="613"/>
      <c r="E173" s="613"/>
      <c r="F173" s="613"/>
      <c r="G173" s="613"/>
      <c r="H173" s="613"/>
      <c r="I173" s="613"/>
      <c r="J173" s="614"/>
    </row>
    <row r="174" spans="1:18" ht="15" customHeight="1" x14ac:dyDescent="0.2">
      <c r="A174" s="615"/>
      <c r="B174" s="616"/>
      <c r="C174" s="616"/>
      <c r="D174" s="616"/>
      <c r="E174" s="616"/>
      <c r="F174" s="616"/>
      <c r="G174" s="616"/>
      <c r="H174" s="616"/>
      <c r="I174" s="616"/>
      <c r="J174" s="617"/>
    </row>
    <row r="175" spans="1:18" s="143" customFormat="1" ht="12.75" customHeight="1" x14ac:dyDescent="0.2">
      <c r="A175" s="475" t="s">
        <v>154</v>
      </c>
      <c r="B175" s="476"/>
      <c r="C175" s="476"/>
      <c r="D175" s="476"/>
      <c r="E175" s="476"/>
      <c r="F175" s="497">
        <v>2078848.25</v>
      </c>
      <c r="G175" s="495"/>
      <c r="H175" s="495"/>
      <c r="I175" s="495"/>
      <c r="J175" s="496"/>
    </row>
    <row r="176" spans="1:18" ht="12.75" customHeight="1" x14ac:dyDescent="0.2">
      <c r="A176" s="609" t="s">
        <v>344</v>
      </c>
      <c r="B176" s="610"/>
      <c r="C176" s="610"/>
      <c r="D176" s="610"/>
      <c r="E176" s="610"/>
      <c r="F176" s="610"/>
      <c r="G176" s="610"/>
      <c r="H176" s="610"/>
      <c r="I176" s="610"/>
      <c r="J176" s="611"/>
    </row>
    <row r="177" spans="1:10" ht="12.75" customHeight="1" x14ac:dyDescent="0.2">
      <c r="A177" s="612"/>
      <c r="B177" s="613"/>
      <c r="C177" s="613"/>
      <c r="D177" s="613"/>
      <c r="E177" s="613"/>
      <c r="F177" s="613"/>
      <c r="G177" s="613"/>
      <c r="H177" s="613"/>
      <c r="I177" s="613"/>
      <c r="J177" s="614"/>
    </row>
    <row r="178" spans="1:10" ht="12.75" customHeight="1" x14ac:dyDescent="0.2">
      <c r="A178" s="612"/>
      <c r="B178" s="613"/>
      <c r="C178" s="613"/>
      <c r="D178" s="613"/>
      <c r="E178" s="613"/>
      <c r="F178" s="613"/>
      <c r="G178" s="613"/>
      <c r="H178" s="613"/>
      <c r="I178" s="613"/>
      <c r="J178" s="614"/>
    </row>
    <row r="179" spans="1:10" ht="15" customHeight="1" x14ac:dyDescent="0.2">
      <c r="A179" s="615"/>
      <c r="B179" s="616"/>
      <c r="C179" s="616"/>
      <c r="D179" s="616"/>
      <c r="E179" s="616"/>
      <c r="F179" s="616"/>
      <c r="G179" s="616"/>
      <c r="H179" s="616"/>
      <c r="I179" s="616"/>
      <c r="J179" s="617"/>
    </row>
    <row r="180" spans="1:10" s="143" customFormat="1" ht="12.75" customHeight="1" x14ac:dyDescent="0.2">
      <c r="A180" s="618" t="s">
        <v>1165</v>
      </c>
      <c r="B180" s="619"/>
      <c r="C180" s="619"/>
      <c r="D180" s="619"/>
      <c r="E180" s="619"/>
      <c r="F180" s="619"/>
      <c r="G180" s="619"/>
      <c r="H180" s="619"/>
      <c r="I180" s="619"/>
      <c r="J180" s="620"/>
    </row>
    <row r="181" spans="1:10" s="143" customFormat="1" x14ac:dyDescent="0.2">
      <c r="A181" s="618"/>
      <c r="B181" s="619"/>
      <c r="C181" s="619"/>
      <c r="D181" s="619"/>
      <c r="E181" s="619"/>
      <c r="F181" s="619"/>
      <c r="G181" s="619"/>
      <c r="H181" s="619"/>
      <c r="I181" s="619"/>
      <c r="J181" s="620"/>
    </row>
    <row r="182" spans="1:10" s="143" customFormat="1" x14ac:dyDescent="0.2">
      <c r="A182" s="618"/>
      <c r="B182" s="619"/>
      <c r="C182" s="619"/>
      <c r="D182" s="619"/>
      <c r="E182" s="619"/>
      <c r="F182" s="619"/>
      <c r="G182" s="619"/>
      <c r="H182" s="619"/>
      <c r="I182" s="619"/>
      <c r="J182" s="620"/>
    </row>
    <row r="183" spans="1:10" s="143" customFormat="1" x14ac:dyDescent="0.2">
      <c r="A183" s="618"/>
      <c r="B183" s="619"/>
      <c r="C183" s="619"/>
      <c r="D183" s="619"/>
      <c r="E183" s="619"/>
      <c r="F183" s="619"/>
      <c r="G183" s="619"/>
      <c r="H183" s="619"/>
      <c r="I183" s="619"/>
      <c r="J183" s="620"/>
    </row>
    <row r="184" spans="1:10" s="143" customFormat="1" x14ac:dyDescent="0.2">
      <c r="A184" s="618"/>
      <c r="B184" s="619"/>
      <c r="C184" s="619"/>
      <c r="D184" s="619"/>
      <c r="E184" s="619"/>
      <c r="F184" s="619"/>
      <c r="G184" s="619"/>
      <c r="H184" s="619"/>
      <c r="I184" s="619"/>
      <c r="J184" s="620"/>
    </row>
    <row r="185" spans="1:10" s="143" customFormat="1" x14ac:dyDescent="0.2">
      <c r="A185" s="618"/>
      <c r="B185" s="619"/>
      <c r="C185" s="619"/>
      <c r="D185" s="619"/>
      <c r="E185" s="619"/>
      <c r="F185" s="619"/>
      <c r="G185" s="619"/>
      <c r="H185" s="619"/>
      <c r="I185" s="619"/>
      <c r="J185" s="620"/>
    </row>
    <row r="186" spans="1:10" s="143" customFormat="1" x14ac:dyDescent="0.2">
      <c r="A186" s="618"/>
      <c r="B186" s="619"/>
      <c r="C186" s="619"/>
      <c r="D186" s="619"/>
      <c r="E186" s="619"/>
      <c r="F186" s="619"/>
      <c r="G186" s="619"/>
      <c r="H186" s="619"/>
      <c r="I186" s="619"/>
      <c r="J186" s="620"/>
    </row>
    <row r="187" spans="1:10" s="143" customFormat="1" x14ac:dyDescent="0.2">
      <c r="A187" s="618"/>
      <c r="B187" s="619"/>
      <c r="C187" s="619"/>
      <c r="D187" s="619"/>
      <c r="E187" s="619"/>
      <c r="F187" s="619"/>
      <c r="G187" s="619"/>
      <c r="H187" s="619"/>
      <c r="I187" s="619"/>
      <c r="J187" s="620"/>
    </row>
    <row r="188" spans="1:10" s="143" customFormat="1" x14ac:dyDescent="0.2">
      <c r="A188" s="618"/>
      <c r="B188" s="619"/>
      <c r="C188" s="619"/>
      <c r="D188" s="619"/>
      <c r="E188" s="619"/>
      <c r="F188" s="619"/>
      <c r="G188" s="619"/>
      <c r="H188" s="619"/>
      <c r="I188" s="619"/>
      <c r="J188" s="620"/>
    </row>
    <row r="189" spans="1:10" s="143" customFormat="1" x14ac:dyDescent="0.2">
      <c r="A189" s="618"/>
      <c r="B189" s="619"/>
      <c r="C189" s="619"/>
      <c r="D189" s="619"/>
      <c r="E189" s="619"/>
      <c r="F189" s="619"/>
      <c r="G189" s="619"/>
      <c r="H189" s="619"/>
      <c r="I189" s="619"/>
      <c r="J189" s="620"/>
    </row>
    <row r="190" spans="1:10" s="143" customFormat="1" x14ac:dyDescent="0.2">
      <c r="A190" s="618"/>
      <c r="B190" s="619"/>
      <c r="C190" s="619"/>
      <c r="D190" s="619"/>
      <c r="E190" s="619"/>
      <c r="F190" s="619"/>
      <c r="G190" s="619"/>
      <c r="H190" s="619"/>
      <c r="I190" s="619"/>
      <c r="J190" s="620"/>
    </row>
    <row r="191" spans="1:10" s="143" customFormat="1" x14ac:dyDescent="0.2">
      <c r="A191" s="618"/>
      <c r="B191" s="619"/>
      <c r="C191" s="619"/>
      <c r="D191" s="619"/>
      <c r="E191" s="619"/>
      <c r="F191" s="619"/>
      <c r="G191" s="619"/>
      <c r="H191" s="619"/>
      <c r="I191" s="619"/>
      <c r="J191" s="620"/>
    </row>
    <row r="192" spans="1:10" s="143" customFormat="1" x14ac:dyDescent="0.2">
      <c r="A192" s="618"/>
      <c r="B192" s="619"/>
      <c r="C192" s="619"/>
      <c r="D192" s="619"/>
      <c r="E192" s="619"/>
      <c r="F192" s="619"/>
      <c r="G192" s="619"/>
      <c r="H192" s="619"/>
      <c r="I192" s="619"/>
      <c r="J192" s="620"/>
    </row>
    <row r="193" spans="1:10" s="143" customFormat="1" x14ac:dyDescent="0.2">
      <c r="A193" s="618"/>
      <c r="B193" s="619"/>
      <c r="C193" s="619"/>
      <c r="D193" s="619"/>
      <c r="E193" s="619"/>
      <c r="F193" s="619"/>
      <c r="G193" s="619"/>
      <c r="H193" s="619"/>
      <c r="I193" s="619"/>
      <c r="J193" s="620"/>
    </row>
    <row r="194" spans="1:10" s="143" customFormat="1" x14ac:dyDescent="0.2">
      <c r="A194" s="618"/>
      <c r="B194" s="619"/>
      <c r="C194" s="619"/>
      <c r="D194" s="619"/>
      <c r="E194" s="619"/>
      <c r="F194" s="619"/>
      <c r="G194" s="619"/>
      <c r="H194" s="619"/>
      <c r="I194" s="619"/>
      <c r="J194" s="620"/>
    </row>
    <row r="195" spans="1:10" s="143" customFormat="1" x14ac:dyDescent="0.2">
      <c r="A195" s="618"/>
      <c r="B195" s="619"/>
      <c r="C195" s="619"/>
      <c r="D195" s="619"/>
      <c r="E195" s="619"/>
      <c r="F195" s="619"/>
      <c r="G195" s="619"/>
      <c r="H195" s="619"/>
      <c r="I195" s="619"/>
      <c r="J195" s="620"/>
    </row>
    <row r="196" spans="1:10" s="143" customFormat="1" x14ac:dyDescent="0.2">
      <c r="A196" s="618"/>
      <c r="B196" s="619"/>
      <c r="C196" s="619"/>
      <c r="D196" s="619"/>
      <c r="E196" s="619"/>
      <c r="F196" s="619"/>
      <c r="G196" s="619"/>
      <c r="H196" s="619"/>
      <c r="I196" s="619"/>
      <c r="J196" s="620"/>
    </row>
    <row r="197" spans="1:10" s="143" customFormat="1" x14ac:dyDescent="0.2">
      <c r="A197" s="618"/>
      <c r="B197" s="619"/>
      <c r="C197" s="619"/>
      <c r="D197" s="619"/>
      <c r="E197" s="619"/>
      <c r="F197" s="619"/>
      <c r="G197" s="619"/>
      <c r="H197" s="619"/>
      <c r="I197" s="619"/>
      <c r="J197" s="620"/>
    </row>
    <row r="198" spans="1:10" s="143" customFormat="1" x14ac:dyDescent="0.2">
      <c r="A198" s="618"/>
      <c r="B198" s="619"/>
      <c r="C198" s="619"/>
      <c r="D198" s="619"/>
      <c r="E198" s="619"/>
      <c r="F198" s="619"/>
      <c r="G198" s="619"/>
      <c r="H198" s="619"/>
      <c r="I198" s="619"/>
      <c r="J198" s="620"/>
    </row>
    <row r="199" spans="1:10" s="143" customFormat="1" x14ac:dyDescent="0.2">
      <c r="A199" s="618"/>
      <c r="B199" s="619"/>
      <c r="C199" s="619"/>
      <c r="D199" s="619"/>
      <c r="E199" s="619"/>
      <c r="F199" s="619"/>
      <c r="G199" s="619"/>
      <c r="H199" s="619"/>
      <c r="I199" s="619"/>
      <c r="J199" s="620"/>
    </row>
    <row r="200" spans="1:10" s="143" customFormat="1" x14ac:dyDescent="0.2">
      <c r="A200" s="618"/>
      <c r="B200" s="619"/>
      <c r="C200" s="619"/>
      <c r="D200" s="619"/>
      <c r="E200" s="619"/>
      <c r="F200" s="619"/>
      <c r="G200" s="619"/>
      <c r="H200" s="619"/>
      <c r="I200" s="619"/>
      <c r="J200" s="620"/>
    </row>
    <row r="201" spans="1:10" s="143" customFormat="1" x14ac:dyDescent="0.2">
      <c r="A201" s="618"/>
      <c r="B201" s="619"/>
      <c r="C201" s="619"/>
      <c r="D201" s="619"/>
      <c r="E201" s="619"/>
      <c r="F201" s="619"/>
      <c r="G201" s="619"/>
      <c r="H201" s="619"/>
      <c r="I201" s="619"/>
      <c r="J201" s="620"/>
    </row>
    <row r="202" spans="1:10" s="143" customFormat="1" x14ac:dyDescent="0.2">
      <c r="A202" s="618"/>
      <c r="B202" s="619"/>
      <c r="C202" s="619"/>
      <c r="D202" s="619"/>
      <c r="E202" s="619"/>
      <c r="F202" s="619"/>
      <c r="G202" s="619"/>
      <c r="H202" s="619"/>
      <c r="I202" s="619"/>
      <c r="J202" s="620"/>
    </row>
    <row r="203" spans="1:10" s="143" customFormat="1" x14ac:dyDescent="0.2">
      <c r="A203" s="618"/>
      <c r="B203" s="619"/>
      <c r="C203" s="619"/>
      <c r="D203" s="619"/>
      <c r="E203" s="619"/>
      <c r="F203" s="619"/>
      <c r="G203" s="619"/>
      <c r="H203" s="619"/>
      <c r="I203" s="619"/>
      <c r="J203" s="620"/>
    </row>
    <row r="204" spans="1:10" s="143" customFormat="1" x14ac:dyDescent="0.2">
      <c r="A204" s="618"/>
      <c r="B204" s="619"/>
      <c r="C204" s="619"/>
      <c r="D204" s="619"/>
      <c r="E204" s="619"/>
      <c r="F204" s="619"/>
      <c r="G204" s="619"/>
      <c r="H204" s="619"/>
      <c r="I204" s="619"/>
      <c r="J204" s="620"/>
    </row>
    <row r="205" spans="1:10" s="143" customFormat="1" x14ac:dyDescent="0.2">
      <c r="A205" s="618"/>
      <c r="B205" s="619"/>
      <c r="C205" s="619"/>
      <c r="D205" s="619"/>
      <c r="E205" s="619"/>
      <c r="F205" s="619"/>
      <c r="G205" s="619"/>
      <c r="H205" s="619"/>
      <c r="I205" s="619"/>
      <c r="J205" s="620"/>
    </row>
    <row r="206" spans="1:10" s="143" customFormat="1" x14ac:dyDescent="0.2">
      <c r="A206" s="618"/>
      <c r="B206" s="619"/>
      <c r="C206" s="619"/>
      <c r="D206" s="619"/>
      <c r="E206" s="619"/>
      <c r="F206" s="619"/>
      <c r="G206" s="619"/>
      <c r="H206" s="619"/>
      <c r="I206" s="619"/>
      <c r="J206" s="620"/>
    </row>
    <row r="207" spans="1:10" s="143" customFormat="1" x14ac:dyDescent="0.2">
      <c r="A207" s="618"/>
      <c r="B207" s="619"/>
      <c r="C207" s="619"/>
      <c r="D207" s="619"/>
      <c r="E207" s="619"/>
      <c r="F207" s="619"/>
      <c r="G207" s="619"/>
      <c r="H207" s="619"/>
      <c r="I207" s="619"/>
      <c r="J207" s="620"/>
    </row>
    <row r="208" spans="1:10" s="143" customFormat="1" x14ac:dyDescent="0.2">
      <c r="A208" s="618"/>
      <c r="B208" s="619"/>
      <c r="C208" s="619"/>
      <c r="D208" s="619"/>
      <c r="E208" s="619"/>
      <c r="F208" s="619"/>
      <c r="G208" s="619"/>
      <c r="H208" s="619"/>
      <c r="I208" s="619"/>
      <c r="J208" s="620"/>
    </row>
    <row r="209" spans="1:10" s="143" customFormat="1" x14ac:dyDescent="0.2">
      <c r="A209" s="161"/>
      <c r="B209" s="160"/>
      <c r="C209" s="157"/>
      <c r="D209" s="159"/>
      <c r="E209" s="159"/>
      <c r="F209" s="159"/>
      <c r="G209" s="159"/>
      <c r="H209" s="158"/>
      <c r="I209" s="157"/>
      <c r="J209" s="156"/>
    </row>
    <row r="210" spans="1:10" ht="12.75" customHeight="1" x14ac:dyDescent="0.2">
      <c r="A210" s="603" t="s">
        <v>156</v>
      </c>
      <c r="B210" s="604"/>
      <c r="C210" s="604"/>
      <c r="D210" s="604"/>
      <c r="E210" s="604"/>
      <c r="F210" s="604"/>
      <c r="G210" s="604"/>
      <c r="H210" s="604"/>
      <c r="I210" s="604"/>
      <c r="J210" s="605"/>
    </row>
    <row r="211" spans="1:10" x14ac:dyDescent="0.2">
      <c r="A211" s="606"/>
      <c r="B211" s="607"/>
      <c r="C211" s="607"/>
      <c r="D211" s="607"/>
      <c r="E211" s="607"/>
      <c r="F211" s="607"/>
      <c r="G211" s="607"/>
      <c r="H211" s="607"/>
      <c r="I211" s="607"/>
      <c r="J211" s="608"/>
    </row>
    <row r="212" spans="1:10" ht="12.75" customHeight="1" x14ac:dyDescent="0.2">
      <c r="A212" s="609" t="s">
        <v>562</v>
      </c>
      <c r="B212" s="610"/>
      <c r="C212" s="610"/>
      <c r="D212" s="610"/>
      <c r="E212" s="610"/>
      <c r="F212" s="610"/>
      <c r="G212" s="610"/>
      <c r="H212" s="610"/>
      <c r="I212" s="610"/>
      <c r="J212" s="611"/>
    </row>
    <row r="213" spans="1:10" ht="12.75" customHeight="1" x14ac:dyDescent="0.2">
      <c r="A213" s="612"/>
      <c r="B213" s="613"/>
      <c r="C213" s="613"/>
      <c r="D213" s="613"/>
      <c r="E213" s="613"/>
      <c r="F213" s="613"/>
      <c r="G213" s="613"/>
      <c r="H213" s="613"/>
      <c r="I213" s="613"/>
      <c r="J213" s="614"/>
    </row>
    <row r="214" spans="1:10" ht="12.75" customHeight="1" x14ac:dyDescent="0.2">
      <c r="A214" s="612"/>
      <c r="B214" s="613"/>
      <c r="C214" s="613"/>
      <c r="D214" s="613"/>
      <c r="E214" s="613"/>
      <c r="F214" s="613"/>
      <c r="G214" s="613"/>
      <c r="H214" s="613"/>
      <c r="I214" s="613"/>
      <c r="J214" s="614"/>
    </row>
    <row r="215" spans="1:10" ht="15" customHeight="1" x14ac:dyDescent="0.2">
      <c r="A215" s="615"/>
      <c r="B215" s="616"/>
      <c r="C215" s="616"/>
      <c r="D215" s="616"/>
      <c r="E215" s="616"/>
      <c r="F215" s="616"/>
      <c r="G215" s="616"/>
      <c r="H215" s="616"/>
      <c r="I215" s="616"/>
      <c r="J215" s="617"/>
    </row>
    <row r="216" spans="1:10" s="143" customFormat="1" ht="12.75" customHeight="1" x14ac:dyDescent="0.2">
      <c r="A216" s="475" t="s">
        <v>157</v>
      </c>
      <c r="B216" s="476"/>
      <c r="C216" s="476"/>
      <c r="D216" s="476"/>
      <c r="E216" s="476"/>
      <c r="F216" s="495"/>
      <c r="G216" s="495"/>
      <c r="H216" s="495"/>
      <c r="I216" s="495"/>
      <c r="J216" s="496"/>
    </row>
    <row r="217" spans="1:10" ht="12.75" customHeight="1" x14ac:dyDescent="0.2">
      <c r="A217" s="609" t="s">
        <v>344</v>
      </c>
      <c r="B217" s="610"/>
      <c r="C217" s="610"/>
      <c r="D217" s="610"/>
      <c r="E217" s="610"/>
      <c r="F217" s="610"/>
      <c r="G217" s="610"/>
      <c r="H217" s="610"/>
      <c r="I217" s="610"/>
      <c r="J217" s="611"/>
    </row>
    <row r="218" spans="1:10" ht="12.75" customHeight="1" x14ac:dyDescent="0.2">
      <c r="A218" s="612"/>
      <c r="B218" s="613"/>
      <c r="C218" s="613"/>
      <c r="D218" s="613"/>
      <c r="E218" s="613"/>
      <c r="F218" s="613"/>
      <c r="G218" s="613"/>
      <c r="H218" s="613"/>
      <c r="I218" s="613"/>
      <c r="J218" s="614"/>
    </row>
    <row r="219" spans="1:10" ht="12.75" customHeight="1" x14ac:dyDescent="0.2">
      <c r="A219" s="612"/>
      <c r="B219" s="613"/>
      <c r="C219" s="613"/>
      <c r="D219" s="613"/>
      <c r="E219" s="613"/>
      <c r="F219" s="613"/>
      <c r="G219" s="613"/>
      <c r="H219" s="613"/>
      <c r="I219" s="613"/>
      <c r="J219" s="614"/>
    </row>
    <row r="220" spans="1:10" ht="15" customHeight="1" x14ac:dyDescent="0.2">
      <c r="A220" s="615"/>
      <c r="B220" s="616"/>
      <c r="C220" s="616"/>
      <c r="D220" s="616"/>
      <c r="E220" s="616"/>
      <c r="F220" s="616"/>
      <c r="G220" s="616"/>
      <c r="H220" s="616"/>
      <c r="I220" s="616"/>
      <c r="J220" s="617"/>
    </row>
    <row r="221" spans="1:10" s="143" customFormat="1" ht="12.75" customHeight="1" x14ac:dyDescent="0.2">
      <c r="A221" s="618"/>
      <c r="B221" s="619"/>
      <c r="C221" s="619"/>
      <c r="D221" s="619"/>
      <c r="E221" s="619"/>
      <c r="F221" s="619"/>
      <c r="G221" s="619"/>
      <c r="H221" s="619"/>
      <c r="I221" s="619"/>
      <c r="J221" s="620"/>
    </row>
    <row r="222" spans="1:10" s="143" customFormat="1" x14ac:dyDescent="0.2">
      <c r="A222" s="618"/>
      <c r="B222" s="619"/>
      <c r="C222" s="619"/>
      <c r="D222" s="619"/>
      <c r="E222" s="619"/>
      <c r="F222" s="619"/>
      <c r="G222" s="619"/>
      <c r="H222" s="619"/>
      <c r="I222" s="619"/>
      <c r="J222" s="620"/>
    </row>
    <row r="223" spans="1:10" s="143" customFormat="1" x14ac:dyDescent="0.2">
      <c r="A223" s="618"/>
      <c r="B223" s="619"/>
      <c r="C223" s="619"/>
      <c r="D223" s="619"/>
      <c r="E223" s="619"/>
      <c r="F223" s="619"/>
      <c r="G223" s="619"/>
      <c r="H223" s="619"/>
      <c r="I223" s="619"/>
      <c r="J223" s="620"/>
    </row>
    <row r="224" spans="1:10" s="143" customFormat="1" x14ac:dyDescent="0.2">
      <c r="A224" s="618"/>
      <c r="B224" s="619"/>
      <c r="C224" s="619"/>
      <c r="D224" s="619"/>
      <c r="E224" s="619"/>
      <c r="F224" s="619"/>
      <c r="G224" s="619"/>
      <c r="H224" s="619"/>
      <c r="I224" s="619"/>
      <c r="J224" s="620"/>
    </row>
    <row r="225" spans="1:10" s="143" customFormat="1" x14ac:dyDescent="0.2">
      <c r="A225" s="618"/>
      <c r="B225" s="619"/>
      <c r="C225" s="619"/>
      <c r="D225" s="619"/>
      <c r="E225" s="619"/>
      <c r="F225" s="619"/>
      <c r="G225" s="619"/>
      <c r="H225" s="619"/>
      <c r="I225" s="619"/>
      <c r="J225" s="620"/>
    </row>
    <row r="226" spans="1:10" s="143" customFormat="1" x14ac:dyDescent="0.2">
      <c r="A226" s="618"/>
      <c r="B226" s="619"/>
      <c r="C226" s="619"/>
      <c r="D226" s="619"/>
      <c r="E226" s="619"/>
      <c r="F226" s="619"/>
      <c r="G226" s="619"/>
      <c r="H226" s="619"/>
      <c r="I226" s="619"/>
      <c r="J226" s="620"/>
    </row>
    <row r="227" spans="1:10" s="143" customFormat="1" x14ac:dyDescent="0.2">
      <c r="A227" s="618"/>
      <c r="B227" s="619"/>
      <c r="C227" s="619"/>
      <c r="D227" s="619"/>
      <c r="E227" s="619"/>
      <c r="F227" s="619"/>
      <c r="G227" s="619"/>
      <c r="H227" s="619"/>
      <c r="I227" s="619"/>
      <c r="J227" s="620"/>
    </row>
    <row r="228" spans="1:10" s="143" customFormat="1" x14ac:dyDescent="0.2">
      <c r="A228" s="618"/>
      <c r="B228" s="619"/>
      <c r="C228" s="619"/>
      <c r="D228" s="619"/>
      <c r="E228" s="619"/>
      <c r="F228" s="619"/>
      <c r="G228" s="619"/>
      <c r="H228" s="619"/>
      <c r="I228" s="619"/>
      <c r="J228" s="620"/>
    </row>
    <row r="229" spans="1:10" s="143" customFormat="1" x14ac:dyDescent="0.2">
      <c r="A229" s="618"/>
      <c r="B229" s="619"/>
      <c r="C229" s="619"/>
      <c r="D229" s="619"/>
      <c r="E229" s="619"/>
      <c r="F229" s="619"/>
      <c r="G229" s="619"/>
      <c r="H229" s="619"/>
      <c r="I229" s="619"/>
      <c r="J229" s="620"/>
    </row>
    <row r="230" spans="1:10" s="143" customFormat="1" x14ac:dyDescent="0.2">
      <c r="A230" s="618"/>
      <c r="B230" s="619"/>
      <c r="C230" s="619"/>
      <c r="D230" s="619"/>
      <c r="E230" s="619"/>
      <c r="F230" s="619"/>
      <c r="G230" s="619"/>
      <c r="H230" s="619"/>
      <c r="I230" s="619"/>
      <c r="J230" s="620"/>
    </row>
    <row r="231" spans="1:10" s="143" customFormat="1" x14ac:dyDescent="0.2">
      <c r="A231" s="618"/>
      <c r="B231" s="619"/>
      <c r="C231" s="619"/>
      <c r="D231" s="619"/>
      <c r="E231" s="619"/>
      <c r="F231" s="619"/>
      <c r="G231" s="619"/>
      <c r="H231" s="619"/>
      <c r="I231" s="619"/>
      <c r="J231" s="620"/>
    </row>
    <row r="232" spans="1:10" s="143" customFormat="1" x14ac:dyDescent="0.2">
      <c r="A232" s="618"/>
      <c r="B232" s="619"/>
      <c r="C232" s="619"/>
      <c r="D232" s="619"/>
      <c r="E232" s="619"/>
      <c r="F232" s="619"/>
      <c r="G232" s="619"/>
      <c r="H232" s="619"/>
      <c r="I232" s="619"/>
      <c r="J232" s="620"/>
    </row>
    <row r="233" spans="1:10" s="143" customFormat="1" x14ac:dyDescent="0.2">
      <c r="A233" s="618"/>
      <c r="B233" s="619"/>
      <c r="C233" s="619"/>
      <c r="D233" s="619"/>
      <c r="E233" s="619"/>
      <c r="F233" s="619"/>
      <c r="G233" s="619"/>
      <c r="H233" s="619"/>
      <c r="I233" s="619"/>
      <c r="J233" s="620"/>
    </row>
    <row r="234" spans="1:10" s="143" customFormat="1" x14ac:dyDescent="0.2">
      <c r="A234" s="618"/>
      <c r="B234" s="619"/>
      <c r="C234" s="619"/>
      <c r="D234" s="619"/>
      <c r="E234" s="619"/>
      <c r="F234" s="619"/>
      <c r="G234" s="619"/>
      <c r="H234" s="619"/>
      <c r="I234" s="619"/>
      <c r="J234" s="620"/>
    </row>
    <row r="235" spans="1:10" s="143" customFormat="1" x14ac:dyDescent="0.2">
      <c r="A235" s="618"/>
      <c r="B235" s="619"/>
      <c r="C235" s="619"/>
      <c r="D235" s="619"/>
      <c r="E235" s="619"/>
      <c r="F235" s="619"/>
      <c r="G235" s="619"/>
      <c r="H235" s="619"/>
      <c r="I235" s="619"/>
      <c r="J235" s="620"/>
    </row>
    <row r="236" spans="1:10" s="143" customFormat="1" x14ac:dyDescent="0.2">
      <c r="A236" s="618"/>
      <c r="B236" s="619"/>
      <c r="C236" s="619"/>
      <c r="D236" s="619"/>
      <c r="E236" s="619"/>
      <c r="F236" s="619"/>
      <c r="G236" s="619"/>
      <c r="H236" s="619"/>
      <c r="I236" s="619"/>
      <c r="J236" s="620"/>
    </row>
    <row r="237" spans="1:10" s="143" customFormat="1" x14ac:dyDescent="0.2">
      <c r="A237" s="618"/>
      <c r="B237" s="619"/>
      <c r="C237" s="619"/>
      <c r="D237" s="619"/>
      <c r="E237" s="619"/>
      <c r="F237" s="619"/>
      <c r="G237" s="619"/>
      <c r="H237" s="619"/>
      <c r="I237" s="619"/>
      <c r="J237" s="620"/>
    </row>
    <row r="238" spans="1:10" s="143" customFormat="1" x14ac:dyDescent="0.2">
      <c r="A238" s="618"/>
      <c r="B238" s="619"/>
      <c r="C238" s="619"/>
      <c r="D238" s="619"/>
      <c r="E238" s="619"/>
      <c r="F238" s="619"/>
      <c r="G238" s="619"/>
      <c r="H238" s="619"/>
      <c r="I238" s="619"/>
      <c r="J238" s="620"/>
    </row>
    <row r="239" spans="1:10" s="143" customFormat="1" x14ac:dyDescent="0.2">
      <c r="A239" s="618"/>
      <c r="B239" s="619"/>
      <c r="C239" s="619"/>
      <c r="D239" s="619"/>
      <c r="E239" s="619"/>
      <c r="F239" s="619"/>
      <c r="G239" s="619"/>
      <c r="H239" s="619"/>
      <c r="I239" s="619"/>
      <c r="J239" s="620"/>
    </row>
    <row r="240" spans="1:10" s="143" customFormat="1" x14ac:dyDescent="0.2">
      <c r="A240" s="618"/>
      <c r="B240" s="619"/>
      <c r="C240" s="619"/>
      <c r="D240" s="619"/>
      <c r="E240" s="619"/>
      <c r="F240" s="619"/>
      <c r="G240" s="619"/>
      <c r="H240" s="619"/>
      <c r="I240" s="619"/>
      <c r="J240" s="620"/>
    </row>
    <row r="241" spans="1:10" s="143" customFormat="1" x14ac:dyDescent="0.2">
      <c r="A241" s="618"/>
      <c r="B241" s="619"/>
      <c r="C241" s="619"/>
      <c r="D241" s="619"/>
      <c r="E241" s="619"/>
      <c r="F241" s="619"/>
      <c r="G241" s="619"/>
      <c r="H241" s="619"/>
      <c r="I241" s="619"/>
      <c r="J241" s="620"/>
    </row>
    <row r="242" spans="1:10" s="143" customFormat="1" x14ac:dyDescent="0.2">
      <c r="A242" s="618"/>
      <c r="B242" s="619"/>
      <c r="C242" s="619"/>
      <c r="D242" s="619"/>
      <c r="E242" s="619"/>
      <c r="F242" s="619"/>
      <c r="G242" s="619"/>
      <c r="H242" s="619"/>
      <c r="I242" s="619"/>
      <c r="J242" s="620"/>
    </row>
    <row r="243" spans="1:10" s="143" customFormat="1" x14ac:dyDescent="0.2">
      <c r="A243" s="618"/>
      <c r="B243" s="619"/>
      <c r="C243" s="619"/>
      <c r="D243" s="619"/>
      <c r="E243" s="619"/>
      <c r="F243" s="619"/>
      <c r="G243" s="619"/>
      <c r="H243" s="619"/>
      <c r="I243" s="619"/>
      <c r="J243" s="620"/>
    </row>
    <row r="244" spans="1:10" s="143" customFormat="1" x14ac:dyDescent="0.2">
      <c r="A244" s="618"/>
      <c r="B244" s="619"/>
      <c r="C244" s="619"/>
      <c r="D244" s="619"/>
      <c r="E244" s="619"/>
      <c r="F244" s="619"/>
      <c r="G244" s="619"/>
      <c r="H244" s="619"/>
      <c r="I244" s="619"/>
      <c r="J244" s="620"/>
    </row>
    <row r="245" spans="1:10" s="143" customFormat="1" x14ac:dyDescent="0.2">
      <c r="A245" s="618"/>
      <c r="B245" s="619"/>
      <c r="C245" s="619"/>
      <c r="D245" s="619"/>
      <c r="E245" s="619"/>
      <c r="F245" s="619"/>
      <c r="G245" s="619"/>
      <c r="H245" s="619"/>
      <c r="I245" s="619"/>
      <c r="J245" s="620"/>
    </row>
    <row r="246" spans="1:10" s="143" customFormat="1" x14ac:dyDescent="0.2">
      <c r="A246" s="618"/>
      <c r="B246" s="619"/>
      <c r="C246" s="619"/>
      <c r="D246" s="619"/>
      <c r="E246" s="619"/>
      <c r="F246" s="619"/>
      <c r="G246" s="619"/>
      <c r="H246" s="619"/>
      <c r="I246" s="619"/>
      <c r="J246" s="620"/>
    </row>
    <row r="247" spans="1:10" s="143" customFormat="1" x14ac:dyDescent="0.2">
      <c r="A247" s="618"/>
      <c r="B247" s="619"/>
      <c r="C247" s="619"/>
      <c r="D247" s="619"/>
      <c r="E247" s="619"/>
      <c r="F247" s="619"/>
      <c r="G247" s="619"/>
      <c r="H247" s="619"/>
      <c r="I247" s="619"/>
      <c r="J247" s="620"/>
    </row>
    <row r="248" spans="1:10" s="143" customFormat="1" x14ac:dyDescent="0.2">
      <c r="A248" s="618"/>
      <c r="B248" s="619"/>
      <c r="C248" s="619"/>
      <c r="D248" s="619"/>
      <c r="E248" s="619"/>
      <c r="F248" s="619"/>
      <c r="G248" s="619"/>
      <c r="H248" s="619"/>
      <c r="I248" s="619"/>
      <c r="J248" s="620"/>
    </row>
    <row r="249" spans="1:10" s="143" customFormat="1" x14ac:dyDescent="0.2">
      <c r="A249" s="618"/>
      <c r="B249" s="619"/>
      <c r="C249" s="619"/>
      <c r="D249" s="619"/>
      <c r="E249" s="619"/>
      <c r="F249" s="619"/>
      <c r="G249" s="619"/>
      <c r="H249" s="619"/>
      <c r="I249" s="619"/>
      <c r="J249" s="620"/>
    </row>
    <row r="250" spans="1:10" s="143" customFormat="1" x14ac:dyDescent="0.2">
      <c r="A250" s="161"/>
      <c r="B250" s="160"/>
      <c r="C250" s="157"/>
      <c r="D250" s="159"/>
      <c r="E250" s="159"/>
      <c r="F250" s="159"/>
      <c r="G250" s="159"/>
      <c r="H250" s="158"/>
      <c r="I250" s="157"/>
      <c r="J250" s="156"/>
    </row>
    <row r="251" spans="1:10" s="143" customFormat="1" x14ac:dyDescent="0.2">
      <c r="A251" s="161"/>
      <c r="B251" s="160"/>
      <c r="C251" s="157"/>
      <c r="D251" s="159"/>
      <c r="E251" s="159"/>
      <c r="F251" s="159"/>
      <c r="G251" s="159"/>
      <c r="H251" s="158"/>
      <c r="I251" s="157"/>
      <c r="J251" s="156"/>
    </row>
    <row r="252" spans="1:10" ht="12.75" customHeight="1" x14ac:dyDescent="0.2">
      <c r="A252" s="603" t="s">
        <v>158</v>
      </c>
      <c r="B252" s="604"/>
      <c r="C252" s="604"/>
      <c r="D252" s="604"/>
      <c r="E252" s="604"/>
      <c r="F252" s="604"/>
      <c r="G252" s="604"/>
      <c r="H252" s="604"/>
      <c r="I252" s="604"/>
      <c r="J252" s="605"/>
    </row>
    <row r="253" spans="1:10" x14ac:dyDescent="0.2">
      <c r="A253" s="606"/>
      <c r="B253" s="607"/>
      <c r="C253" s="607"/>
      <c r="D253" s="607"/>
      <c r="E253" s="607"/>
      <c r="F253" s="607"/>
      <c r="G253" s="607"/>
      <c r="H253" s="607"/>
      <c r="I253" s="607"/>
      <c r="J253" s="608"/>
    </row>
    <row r="254" spans="1:10" ht="12.75" customHeight="1" x14ac:dyDescent="0.2">
      <c r="A254" s="609" t="s">
        <v>341</v>
      </c>
      <c r="B254" s="610"/>
      <c r="C254" s="610"/>
      <c r="D254" s="610"/>
      <c r="E254" s="610"/>
      <c r="F254" s="610"/>
      <c r="G254" s="610"/>
      <c r="H254" s="610"/>
      <c r="I254" s="610"/>
      <c r="J254" s="611"/>
    </row>
    <row r="255" spans="1:10" ht="12.75" customHeight="1" x14ac:dyDescent="0.2">
      <c r="A255" s="612"/>
      <c r="B255" s="613"/>
      <c r="C255" s="613"/>
      <c r="D255" s="613"/>
      <c r="E255" s="613"/>
      <c r="F255" s="613"/>
      <c r="G255" s="613"/>
      <c r="H255" s="613"/>
      <c r="I255" s="613"/>
      <c r="J255" s="614"/>
    </row>
    <row r="256" spans="1:10" ht="12.75" customHeight="1" x14ac:dyDescent="0.2">
      <c r="A256" s="612"/>
      <c r="B256" s="613"/>
      <c r="C256" s="613"/>
      <c r="D256" s="613"/>
      <c r="E256" s="613"/>
      <c r="F256" s="613"/>
      <c r="G256" s="613"/>
      <c r="H256" s="613"/>
      <c r="I256" s="613"/>
      <c r="J256" s="614"/>
    </row>
    <row r="257" spans="1:10" ht="15" customHeight="1" x14ac:dyDescent="0.2">
      <c r="A257" s="615"/>
      <c r="B257" s="616"/>
      <c r="C257" s="616"/>
      <c r="D257" s="616"/>
      <c r="E257" s="616"/>
      <c r="F257" s="616"/>
      <c r="G257" s="616"/>
      <c r="H257" s="616"/>
      <c r="I257" s="616"/>
      <c r="J257" s="617"/>
    </row>
    <row r="258" spans="1:10" s="143" customFormat="1" ht="12.75" customHeight="1" x14ac:dyDescent="0.2">
      <c r="A258" s="475" t="s">
        <v>159</v>
      </c>
      <c r="B258" s="476"/>
      <c r="C258" s="476"/>
      <c r="D258" s="476"/>
      <c r="E258" s="476"/>
      <c r="F258" s="495"/>
      <c r="G258" s="495"/>
      <c r="H258" s="495"/>
      <c r="I258" s="495"/>
      <c r="J258" s="496"/>
    </row>
    <row r="259" spans="1:10" ht="12.75" customHeight="1" x14ac:dyDescent="0.2">
      <c r="A259" s="609" t="s">
        <v>160</v>
      </c>
      <c r="B259" s="610"/>
      <c r="C259" s="610"/>
      <c r="D259" s="610"/>
      <c r="E259" s="610"/>
      <c r="F259" s="610"/>
      <c r="G259" s="610"/>
      <c r="H259" s="610"/>
      <c r="I259" s="610"/>
      <c r="J259" s="611"/>
    </row>
    <row r="260" spans="1:10" ht="12.75" customHeight="1" x14ac:dyDescent="0.2">
      <c r="A260" s="612"/>
      <c r="B260" s="613"/>
      <c r="C260" s="613"/>
      <c r="D260" s="613"/>
      <c r="E260" s="613"/>
      <c r="F260" s="613"/>
      <c r="G260" s="613"/>
      <c r="H260" s="613"/>
      <c r="I260" s="613"/>
      <c r="J260" s="614"/>
    </row>
    <row r="261" spans="1:10" ht="12.75" customHeight="1" x14ac:dyDescent="0.2">
      <c r="A261" s="612"/>
      <c r="B261" s="613"/>
      <c r="C261" s="613"/>
      <c r="D261" s="613"/>
      <c r="E261" s="613"/>
      <c r="F261" s="613"/>
      <c r="G261" s="613"/>
      <c r="H261" s="613"/>
      <c r="I261" s="613"/>
      <c r="J261" s="614"/>
    </row>
    <row r="262" spans="1:10" ht="15" customHeight="1" x14ac:dyDescent="0.2">
      <c r="A262" s="615"/>
      <c r="B262" s="616"/>
      <c r="C262" s="616"/>
      <c r="D262" s="616"/>
      <c r="E262" s="616"/>
      <c r="F262" s="616"/>
      <c r="G262" s="616"/>
      <c r="H262" s="616"/>
      <c r="I262" s="616"/>
      <c r="J262" s="617"/>
    </row>
    <row r="263" spans="1:10" s="143" customFormat="1" ht="12.75" customHeight="1" x14ac:dyDescent="0.2">
      <c r="A263" s="618"/>
      <c r="B263" s="619"/>
      <c r="C263" s="619"/>
      <c r="D263" s="619"/>
      <c r="E263" s="619"/>
      <c r="F263" s="619"/>
      <c r="G263" s="619"/>
      <c r="H263" s="619"/>
      <c r="I263" s="619"/>
      <c r="J263" s="620"/>
    </row>
    <row r="264" spans="1:10" s="143" customFormat="1" x14ac:dyDescent="0.2">
      <c r="A264" s="618"/>
      <c r="B264" s="619"/>
      <c r="C264" s="619"/>
      <c r="D264" s="619"/>
      <c r="E264" s="619"/>
      <c r="F264" s="619"/>
      <c r="G264" s="619"/>
      <c r="H264" s="619"/>
      <c r="I264" s="619"/>
      <c r="J264" s="620"/>
    </row>
    <row r="265" spans="1:10" s="143" customFormat="1" x14ac:dyDescent="0.2">
      <c r="A265" s="618"/>
      <c r="B265" s="619"/>
      <c r="C265" s="619"/>
      <c r="D265" s="619"/>
      <c r="E265" s="619"/>
      <c r="F265" s="619"/>
      <c r="G265" s="619"/>
      <c r="H265" s="619"/>
      <c r="I265" s="619"/>
      <c r="J265" s="620"/>
    </row>
    <row r="266" spans="1:10" s="143" customFormat="1" x14ac:dyDescent="0.2">
      <c r="A266" s="618"/>
      <c r="B266" s="619"/>
      <c r="C266" s="619"/>
      <c r="D266" s="619"/>
      <c r="E266" s="619"/>
      <c r="F266" s="619"/>
      <c r="G266" s="619"/>
      <c r="H266" s="619"/>
      <c r="I266" s="619"/>
      <c r="J266" s="620"/>
    </row>
    <row r="267" spans="1:10" s="143" customFormat="1" x14ac:dyDescent="0.2">
      <c r="A267" s="618"/>
      <c r="B267" s="619"/>
      <c r="C267" s="619"/>
      <c r="D267" s="619"/>
      <c r="E267" s="619"/>
      <c r="F267" s="619"/>
      <c r="G267" s="619"/>
      <c r="H267" s="619"/>
      <c r="I267" s="619"/>
      <c r="J267" s="620"/>
    </row>
    <row r="268" spans="1:10" s="143" customFormat="1" x14ac:dyDescent="0.2">
      <c r="A268" s="618"/>
      <c r="B268" s="619"/>
      <c r="C268" s="619"/>
      <c r="D268" s="619"/>
      <c r="E268" s="619"/>
      <c r="F268" s="619"/>
      <c r="G268" s="619"/>
      <c r="H268" s="619"/>
      <c r="I268" s="619"/>
      <c r="J268" s="620"/>
    </row>
    <row r="269" spans="1:10" s="143" customFormat="1" x14ac:dyDescent="0.2">
      <c r="A269" s="618"/>
      <c r="B269" s="619"/>
      <c r="C269" s="619"/>
      <c r="D269" s="619"/>
      <c r="E269" s="619"/>
      <c r="F269" s="619"/>
      <c r="G269" s="619"/>
      <c r="H269" s="619"/>
      <c r="I269" s="619"/>
      <c r="J269" s="620"/>
    </row>
    <row r="270" spans="1:10" s="143" customFormat="1" x14ac:dyDescent="0.2">
      <c r="A270" s="618"/>
      <c r="B270" s="619"/>
      <c r="C270" s="619"/>
      <c r="D270" s="619"/>
      <c r="E270" s="619"/>
      <c r="F270" s="619"/>
      <c r="G270" s="619"/>
      <c r="H270" s="619"/>
      <c r="I270" s="619"/>
      <c r="J270" s="620"/>
    </row>
    <row r="271" spans="1:10" s="143" customFormat="1" x14ac:dyDescent="0.2">
      <c r="A271" s="618"/>
      <c r="B271" s="619"/>
      <c r="C271" s="619"/>
      <c r="D271" s="619"/>
      <c r="E271" s="619"/>
      <c r="F271" s="619"/>
      <c r="G271" s="619"/>
      <c r="H271" s="619"/>
      <c r="I271" s="619"/>
      <c r="J271" s="620"/>
    </row>
    <row r="272" spans="1:10" s="143" customFormat="1" x14ac:dyDescent="0.2">
      <c r="A272" s="618"/>
      <c r="B272" s="619"/>
      <c r="C272" s="619"/>
      <c r="D272" s="619"/>
      <c r="E272" s="619"/>
      <c r="F272" s="619"/>
      <c r="G272" s="619"/>
      <c r="H272" s="619"/>
      <c r="I272" s="619"/>
      <c r="J272" s="620"/>
    </row>
    <row r="273" spans="1:10" s="143" customFormat="1" x14ac:dyDescent="0.2">
      <c r="A273" s="618"/>
      <c r="B273" s="619"/>
      <c r="C273" s="619"/>
      <c r="D273" s="619"/>
      <c r="E273" s="619"/>
      <c r="F273" s="619"/>
      <c r="G273" s="619"/>
      <c r="H273" s="619"/>
      <c r="I273" s="619"/>
      <c r="J273" s="620"/>
    </row>
    <row r="274" spans="1:10" ht="12.75" customHeight="1" x14ac:dyDescent="0.2">
      <c r="A274" s="609" t="s">
        <v>345</v>
      </c>
      <c r="B274" s="610"/>
      <c r="C274" s="610"/>
      <c r="D274" s="610"/>
      <c r="E274" s="610"/>
      <c r="F274" s="610"/>
      <c r="G274" s="610"/>
      <c r="H274" s="610"/>
      <c r="I274" s="610"/>
      <c r="J274" s="611"/>
    </row>
    <row r="275" spans="1:10" ht="12.75" customHeight="1" x14ac:dyDescent="0.2">
      <c r="A275" s="612"/>
      <c r="B275" s="613"/>
      <c r="C275" s="613"/>
      <c r="D275" s="613"/>
      <c r="E275" s="613"/>
      <c r="F275" s="613"/>
      <c r="G275" s="613"/>
      <c r="H275" s="613"/>
      <c r="I275" s="613"/>
      <c r="J275" s="614"/>
    </row>
    <row r="276" spans="1:10" ht="12.75" customHeight="1" x14ac:dyDescent="0.2">
      <c r="A276" s="612"/>
      <c r="B276" s="613"/>
      <c r="C276" s="613"/>
      <c r="D276" s="613"/>
      <c r="E276" s="613"/>
      <c r="F276" s="613"/>
      <c r="G276" s="613"/>
      <c r="H276" s="613"/>
      <c r="I276" s="613"/>
      <c r="J276" s="614"/>
    </row>
    <row r="277" spans="1:10" ht="15" customHeight="1" x14ac:dyDescent="0.2">
      <c r="A277" s="615"/>
      <c r="B277" s="616"/>
      <c r="C277" s="616"/>
      <c r="D277" s="616"/>
      <c r="E277" s="616"/>
      <c r="F277" s="616"/>
      <c r="G277" s="616"/>
      <c r="H277" s="616"/>
      <c r="I277" s="616"/>
      <c r="J277" s="617"/>
    </row>
    <row r="278" spans="1:10" s="143" customFormat="1" ht="12.75" customHeight="1" x14ac:dyDescent="0.2">
      <c r="A278" s="618"/>
      <c r="B278" s="619"/>
      <c r="C278" s="619"/>
      <c r="D278" s="619"/>
      <c r="E278" s="619"/>
      <c r="F278" s="619"/>
      <c r="G278" s="619"/>
      <c r="H278" s="619"/>
      <c r="I278" s="619"/>
      <c r="J278" s="620"/>
    </row>
    <row r="279" spans="1:10" s="143" customFormat="1" x14ac:dyDescent="0.2">
      <c r="A279" s="618"/>
      <c r="B279" s="619"/>
      <c r="C279" s="619"/>
      <c r="D279" s="619"/>
      <c r="E279" s="619"/>
      <c r="F279" s="619"/>
      <c r="G279" s="619"/>
      <c r="H279" s="619"/>
      <c r="I279" s="619"/>
      <c r="J279" s="620"/>
    </row>
    <row r="280" spans="1:10" s="143" customFormat="1" x14ac:dyDescent="0.2">
      <c r="A280" s="618"/>
      <c r="B280" s="619"/>
      <c r="C280" s="619"/>
      <c r="D280" s="619"/>
      <c r="E280" s="619"/>
      <c r="F280" s="619"/>
      <c r="G280" s="619"/>
      <c r="H280" s="619"/>
      <c r="I280" s="619"/>
      <c r="J280" s="620"/>
    </row>
    <row r="281" spans="1:10" s="143" customFormat="1" x14ac:dyDescent="0.2">
      <c r="A281" s="618"/>
      <c r="B281" s="619"/>
      <c r="C281" s="619"/>
      <c r="D281" s="619"/>
      <c r="E281" s="619"/>
      <c r="F281" s="619"/>
      <c r="G281" s="619"/>
      <c r="H281" s="619"/>
      <c r="I281" s="619"/>
      <c r="J281" s="620"/>
    </row>
    <row r="282" spans="1:10" s="143" customFormat="1" x14ac:dyDescent="0.2">
      <c r="A282" s="618"/>
      <c r="B282" s="619"/>
      <c r="C282" s="619"/>
      <c r="D282" s="619"/>
      <c r="E282" s="619"/>
      <c r="F282" s="619"/>
      <c r="G282" s="619"/>
      <c r="H282" s="619"/>
      <c r="I282" s="619"/>
      <c r="J282" s="620"/>
    </row>
    <row r="283" spans="1:10" s="143" customFormat="1" x14ac:dyDescent="0.2">
      <c r="A283" s="618"/>
      <c r="B283" s="619"/>
      <c r="C283" s="619"/>
      <c r="D283" s="619"/>
      <c r="E283" s="619"/>
      <c r="F283" s="619"/>
      <c r="G283" s="619"/>
      <c r="H283" s="619"/>
      <c r="I283" s="619"/>
      <c r="J283" s="620"/>
    </row>
    <row r="284" spans="1:10" s="143" customFormat="1" x14ac:dyDescent="0.2">
      <c r="A284" s="618"/>
      <c r="B284" s="619"/>
      <c r="C284" s="619"/>
      <c r="D284" s="619"/>
      <c r="E284" s="619"/>
      <c r="F284" s="619"/>
      <c r="G284" s="619"/>
      <c r="H284" s="619"/>
      <c r="I284" s="619"/>
      <c r="J284" s="620"/>
    </row>
    <row r="285" spans="1:10" s="143" customFormat="1" x14ac:dyDescent="0.2">
      <c r="A285" s="618"/>
      <c r="B285" s="619"/>
      <c r="C285" s="619"/>
      <c r="D285" s="619"/>
      <c r="E285" s="619"/>
      <c r="F285" s="619"/>
      <c r="G285" s="619"/>
      <c r="H285" s="619"/>
      <c r="I285" s="619"/>
      <c r="J285" s="620"/>
    </row>
    <row r="286" spans="1:10" s="143" customFormat="1" x14ac:dyDescent="0.2">
      <c r="A286" s="618"/>
      <c r="B286" s="619"/>
      <c r="C286" s="619"/>
      <c r="D286" s="619"/>
      <c r="E286" s="619"/>
      <c r="F286" s="619"/>
      <c r="G286" s="619"/>
      <c r="H286" s="619"/>
      <c r="I286" s="619"/>
      <c r="J286" s="620"/>
    </row>
    <row r="287" spans="1:10" s="143" customFormat="1" x14ac:dyDescent="0.2">
      <c r="A287" s="618"/>
      <c r="B287" s="619"/>
      <c r="C287" s="619"/>
      <c r="D287" s="619"/>
      <c r="E287" s="619"/>
      <c r="F287" s="619"/>
      <c r="G287" s="619"/>
      <c r="H287" s="619"/>
      <c r="I287" s="619"/>
      <c r="J287" s="620"/>
    </row>
    <row r="288" spans="1:10" s="143" customFormat="1" x14ac:dyDescent="0.2">
      <c r="A288" s="618"/>
      <c r="B288" s="619"/>
      <c r="C288" s="619"/>
      <c r="D288" s="619"/>
      <c r="E288" s="619"/>
      <c r="F288" s="619"/>
      <c r="G288" s="619"/>
      <c r="H288" s="619"/>
      <c r="I288" s="619"/>
      <c r="J288" s="620"/>
    </row>
    <row r="289" spans="1:10" s="143" customFormat="1" x14ac:dyDescent="0.2">
      <c r="A289" s="618"/>
      <c r="B289" s="619"/>
      <c r="C289" s="619"/>
      <c r="D289" s="619"/>
      <c r="E289" s="619"/>
      <c r="F289" s="619"/>
      <c r="G289" s="619"/>
      <c r="H289" s="619"/>
      <c r="I289" s="619"/>
      <c r="J289" s="620"/>
    </row>
    <row r="290" spans="1:10" s="143" customFormat="1" ht="13.5" thickBot="1" x14ac:dyDescent="0.25">
      <c r="A290" s="654"/>
      <c r="B290" s="655"/>
      <c r="C290" s="655"/>
      <c r="D290" s="655"/>
      <c r="E290" s="655"/>
      <c r="F290" s="655"/>
      <c r="G290" s="655"/>
      <c r="H290" s="655"/>
      <c r="I290" s="655"/>
      <c r="J290" s="656"/>
    </row>
    <row r="291" spans="1:10" s="143" customFormat="1" ht="25.5" customHeight="1" thickTop="1" x14ac:dyDescent="0.2">
      <c r="A291" s="657" t="s">
        <v>161</v>
      </c>
      <c r="B291" s="658"/>
      <c r="C291" s="658"/>
      <c r="D291" s="658"/>
      <c r="E291" s="658"/>
      <c r="F291" s="661">
        <f>SUM(F258,F216,F175,F133,F91,F49,F13)</f>
        <v>4535110.0399999991</v>
      </c>
      <c r="G291" s="661"/>
      <c r="H291" s="661"/>
      <c r="I291" s="661"/>
      <c r="J291" s="662"/>
    </row>
    <row r="292" spans="1:10" ht="13.5" thickBot="1" x14ac:dyDescent="0.25">
      <c r="A292" s="659"/>
      <c r="B292" s="660"/>
      <c r="C292" s="660"/>
      <c r="D292" s="660"/>
      <c r="E292" s="660"/>
      <c r="F292" s="663"/>
      <c r="G292" s="663"/>
      <c r="H292" s="663"/>
      <c r="I292" s="663"/>
      <c r="J292" s="664"/>
    </row>
    <row r="293" spans="1:10" ht="13.5" thickTop="1" x14ac:dyDescent="0.2"/>
  </sheetData>
  <sheetProtection formatRows="0"/>
  <mergeCells count="50">
    <mergeCell ref="A1:J2"/>
    <mergeCell ref="A3:J5"/>
    <mergeCell ref="A278:J290"/>
    <mergeCell ref="A291:E292"/>
    <mergeCell ref="F291:J292"/>
    <mergeCell ref="A176:J179"/>
    <mergeCell ref="A180:J208"/>
    <mergeCell ref="A210:J211"/>
    <mergeCell ref="A274:J277"/>
    <mergeCell ref="A129:J132"/>
    <mergeCell ref="A259:J262"/>
    <mergeCell ref="A263:J273"/>
    <mergeCell ref="A9:J12"/>
    <mergeCell ref="A169:J170"/>
    <mergeCell ref="A171:J174"/>
    <mergeCell ref="A175:E175"/>
    <mergeCell ref="A92:J95"/>
    <mergeCell ref="A54:J83"/>
    <mergeCell ref="A133:E133"/>
    <mergeCell ref="F133:J133"/>
    <mergeCell ref="A134:J137"/>
    <mergeCell ref="A96:J125"/>
    <mergeCell ref="A258:E258"/>
    <mergeCell ref="F258:J258"/>
    <mergeCell ref="A254:J257"/>
    <mergeCell ref="A127:J128"/>
    <mergeCell ref="A252:J253"/>
    <mergeCell ref="F216:J216"/>
    <mergeCell ref="A212:J215"/>
    <mergeCell ref="A221:J249"/>
    <mergeCell ref="A217:J220"/>
    <mergeCell ref="A216:E216"/>
    <mergeCell ref="A151:J154"/>
    <mergeCell ref="A155:J167"/>
    <mergeCell ref="F175:J175"/>
    <mergeCell ref="A138:J150"/>
    <mergeCell ref="F49:J49"/>
    <mergeCell ref="A50:J53"/>
    <mergeCell ref="F91:J91"/>
    <mergeCell ref="A43:J44"/>
    <mergeCell ref="A45:J48"/>
    <mergeCell ref="A85:J86"/>
    <mergeCell ref="A87:J90"/>
    <mergeCell ref="A91:E91"/>
    <mergeCell ref="A49:E49"/>
    <mergeCell ref="A7:J8"/>
    <mergeCell ref="A14:J18"/>
    <mergeCell ref="A19:J41"/>
    <mergeCell ref="A13:E13"/>
    <mergeCell ref="F13:J13"/>
  </mergeCells>
  <pageMargins left="0.75" right="0.75" top="1" bottom="1" header="0.5" footer="0.5"/>
  <pageSetup scale="83" fitToWidth="0" fitToHeight="0" orientation="landscape" r:id="rId1"/>
  <headerFooter alignWithMargins="0">
    <oddHeader>&amp;LFFY 2010 Consolidated Application&amp;C&amp;A&amp;R&amp;P of &amp;N</oddHeader>
  </headerFooter>
  <rowBreaks count="2" manualBreakCount="2">
    <brk id="208" max="9" man="1"/>
    <brk id="249"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A1:J23"/>
  <sheetViews>
    <sheetView view="pageBreakPreview" zoomScaleNormal="100" zoomScaleSheetLayoutView="100" workbookViewId="0">
      <selection activeCell="F20" sqref="F20:J20"/>
    </sheetView>
  </sheetViews>
  <sheetFormatPr defaultColWidth="9.140625" defaultRowHeight="12.75" x14ac:dyDescent="0.2"/>
  <cols>
    <col min="1" max="10" width="15.7109375" style="1" customWidth="1"/>
    <col min="11" max="12" width="0" style="1" hidden="1" customWidth="1"/>
    <col min="13" max="16384" width="9.140625" style="1"/>
  </cols>
  <sheetData>
    <row r="1" spans="1:10" ht="13.5" thickTop="1" x14ac:dyDescent="0.2">
      <c r="A1" s="546" t="s">
        <v>162</v>
      </c>
      <c r="B1" s="547"/>
      <c r="C1" s="547"/>
      <c r="D1" s="547"/>
      <c r="E1" s="547"/>
      <c r="F1" s="547"/>
      <c r="G1" s="547"/>
      <c r="H1" s="547"/>
      <c r="I1" s="547"/>
      <c r="J1" s="548"/>
    </row>
    <row r="2" spans="1:10" x14ac:dyDescent="0.2">
      <c r="A2" s="549"/>
      <c r="B2" s="550"/>
      <c r="C2" s="550"/>
      <c r="D2" s="550"/>
      <c r="E2" s="550"/>
      <c r="F2" s="550"/>
      <c r="G2" s="550"/>
      <c r="H2" s="550"/>
      <c r="I2" s="550"/>
      <c r="J2" s="551"/>
    </row>
    <row r="3" spans="1:10" x14ac:dyDescent="0.2">
      <c r="A3" s="673" t="s">
        <v>208</v>
      </c>
      <c r="B3" s="674"/>
      <c r="C3" s="674"/>
      <c r="D3" s="674"/>
      <c r="E3" s="674"/>
      <c r="F3" s="674"/>
      <c r="G3" s="674"/>
      <c r="H3" s="674"/>
      <c r="I3" s="674"/>
      <c r="J3" s="675"/>
    </row>
    <row r="4" spans="1:10" x14ac:dyDescent="0.2">
      <c r="A4" s="676"/>
      <c r="B4" s="677"/>
      <c r="C4" s="677"/>
      <c r="D4" s="677"/>
      <c r="E4" s="677"/>
      <c r="F4" s="677"/>
      <c r="G4" s="677"/>
      <c r="H4" s="677"/>
      <c r="I4" s="677"/>
      <c r="J4" s="678"/>
    </row>
    <row r="5" spans="1:10" s="2" customFormat="1" ht="12.6" customHeight="1" x14ac:dyDescent="0.2">
      <c r="A5" s="689" t="s">
        <v>349</v>
      </c>
      <c r="B5" s="690"/>
      <c r="C5" s="690"/>
      <c r="D5" s="690"/>
      <c r="E5" s="690"/>
      <c r="F5" s="690"/>
      <c r="G5" s="690"/>
      <c r="H5" s="690"/>
      <c r="I5" s="690"/>
      <c r="J5" s="691"/>
    </row>
    <row r="6" spans="1:10" s="2" customFormat="1" ht="12.6" customHeight="1" x14ac:dyDescent="0.2">
      <c r="A6" s="683"/>
      <c r="B6" s="684"/>
      <c r="C6" s="684"/>
      <c r="D6" s="684"/>
      <c r="E6" s="684"/>
      <c r="F6" s="684"/>
      <c r="G6" s="684"/>
      <c r="H6" s="684"/>
      <c r="I6" s="684"/>
      <c r="J6" s="685"/>
    </row>
    <row r="7" spans="1:10" s="2" customFormat="1" ht="12.6" customHeight="1" x14ac:dyDescent="0.2">
      <c r="A7" s="683"/>
      <c r="B7" s="684"/>
      <c r="C7" s="684"/>
      <c r="D7" s="684"/>
      <c r="E7" s="684"/>
      <c r="F7" s="684"/>
      <c r="G7" s="684"/>
      <c r="H7" s="684"/>
      <c r="I7" s="684"/>
      <c r="J7" s="685"/>
    </row>
    <row r="8" spans="1:10" s="2" customFormat="1" ht="12.6" customHeight="1" x14ac:dyDescent="0.2">
      <c r="A8" s="683"/>
      <c r="B8" s="684"/>
      <c r="C8" s="684"/>
      <c r="D8" s="684"/>
      <c r="E8" s="684"/>
      <c r="F8" s="684"/>
      <c r="G8" s="684"/>
      <c r="H8" s="684"/>
      <c r="I8" s="684"/>
      <c r="J8" s="685"/>
    </row>
    <row r="9" spans="1:10" s="2" customFormat="1" ht="12.6" customHeight="1" x14ac:dyDescent="0.2">
      <c r="A9" s="683"/>
      <c r="B9" s="684"/>
      <c r="C9" s="684"/>
      <c r="D9" s="684"/>
      <c r="E9" s="684"/>
      <c r="F9" s="684"/>
      <c r="G9" s="684"/>
      <c r="H9" s="684"/>
      <c r="I9" s="684"/>
      <c r="J9" s="685"/>
    </row>
    <row r="10" spans="1:10" s="2" customFormat="1" ht="12.6" customHeight="1" x14ac:dyDescent="0.2">
      <c r="A10" s="683"/>
      <c r="B10" s="684"/>
      <c r="C10" s="684"/>
      <c r="D10" s="684"/>
      <c r="E10" s="684"/>
      <c r="F10" s="684"/>
      <c r="G10" s="684"/>
      <c r="H10" s="684"/>
      <c r="I10" s="684"/>
      <c r="J10" s="685"/>
    </row>
    <row r="11" spans="1:10" s="2" customFormat="1" ht="12.6" customHeight="1" x14ac:dyDescent="0.2">
      <c r="A11" s="683"/>
      <c r="B11" s="684"/>
      <c r="C11" s="684"/>
      <c r="D11" s="684"/>
      <c r="E11" s="684"/>
      <c r="F11" s="684"/>
      <c r="G11" s="684"/>
      <c r="H11" s="684"/>
      <c r="I11" s="684"/>
      <c r="J11" s="685"/>
    </row>
    <row r="12" spans="1:10" s="2" customFormat="1" ht="12.6" customHeight="1" x14ac:dyDescent="0.2">
      <c r="A12" s="683" t="s">
        <v>348</v>
      </c>
      <c r="B12" s="684"/>
      <c r="C12" s="684"/>
      <c r="D12" s="684"/>
      <c r="E12" s="684"/>
      <c r="F12" s="684"/>
      <c r="G12" s="684"/>
      <c r="H12" s="684"/>
      <c r="I12" s="684"/>
      <c r="J12" s="685"/>
    </row>
    <row r="13" spans="1:10" s="2" customFormat="1" ht="12.6" customHeight="1" x14ac:dyDescent="0.2">
      <c r="A13" s="683"/>
      <c r="B13" s="684"/>
      <c r="C13" s="684"/>
      <c r="D13" s="684"/>
      <c r="E13" s="684"/>
      <c r="F13" s="684"/>
      <c r="G13" s="684"/>
      <c r="H13" s="684"/>
      <c r="I13" s="684"/>
      <c r="J13" s="685"/>
    </row>
    <row r="14" spans="1:10" s="2" customFormat="1" ht="12.6" customHeight="1" x14ac:dyDescent="0.2">
      <c r="A14" s="686"/>
      <c r="B14" s="687"/>
      <c r="C14" s="687"/>
      <c r="D14" s="687"/>
      <c r="E14" s="687"/>
      <c r="F14" s="687"/>
      <c r="G14" s="687"/>
      <c r="H14" s="687"/>
      <c r="I14" s="687"/>
      <c r="J14" s="688"/>
    </row>
    <row r="15" spans="1:10" s="61" customFormat="1" ht="12.75" customHeight="1" x14ac:dyDescent="0.2">
      <c r="A15" s="475" t="s">
        <v>393</v>
      </c>
      <c r="B15" s="476"/>
      <c r="C15" s="476"/>
      <c r="D15" s="476"/>
      <c r="E15" s="476"/>
      <c r="F15" s="692" t="s">
        <v>145</v>
      </c>
      <c r="G15" s="692"/>
      <c r="H15" s="692"/>
      <c r="I15" s="692"/>
      <c r="J15" s="693"/>
    </row>
    <row r="16" spans="1:10" s="61" customFormat="1" ht="12.75" customHeight="1" x14ac:dyDescent="0.2">
      <c r="A16" s="694"/>
      <c r="B16" s="695"/>
      <c r="C16" s="695"/>
      <c r="D16" s="695"/>
      <c r="E16" s="695"/>
      <c r="F16" s="695"/>
      <c r="G16" s="695"/>
      <c r="H16" s="695"/>
      <c r="I16" s="695"/>
      <c r="J16" s="696"/>
    </row>
    <row r="17" spans="1:10" s="61" customFormat="1" ht="50.1" customHeight="1" x14ac:dyDescent="0.2">
      <c r="A17" s="679" t="s">
        <v>163</v>
      </c>
      <c r="B17" s="680"/>
      <c r="C17" s="680"/>
      <c r="D17" s="680"/>
      <c r="E17" s="680"/>
      <c r="F17" s="681">
        <f>'1'!B28-'2a'!F379-'2b'!F291</f>
        <v>17069378.180000003</v>
      </c>
      <c r="G17" s="681"/>
      <c r="H17" s="681"/>
      <c r="I17" s="681"/>
      <c r="J17" s="682"/>
    </row>
    <row r="18" spans="1:10" s="61" customFormat="1" ht="50.1" customHeight="1" x14ac:dyDescent="0.2">
      <c r="A18" s="665" t="s">
        <v>164</v>
      </c>
      <c r="B18" s="666"/>
      <c r="C18" s="666"/>
      <c r="D18" s="666"/>
      <c r="E18" s="666"/>
      <c r="F18" s="667">
        <v>14630402.9</v>
      </c>
      <c r="G18" s="667"/>
      <c r="H18" s="667"/>
      <c r="I18" s="667"/>
      <c r="J18" s="668"/>
    </row>
    <row r="19" spans="1:10" s="61" customFormat="1" ht="50.1" customHeight="1" x14ac:dyDescent="0.2">
      <c r="A19" s="665" t="s">
        <v>165</v>
      </c>
      <c r="B19" s="666"/>
      <c r="C19" s="666"/>
      <c r="D19" s="666"/>
      <c r="E19" s="666"/>
      <c r="F19" s="667">
        <v>838850</v>
      </c>
      <c r="G19" s="667"/>
      <c r="H19" s="667"/>
      <c r="I19" s="667"/>
      <c r="J19" s="668"/>
    </row>
    <row r="20" spans="1:10" s="61" customFormat="1" ht="50.1" customHeight="1" x14ac:dyDescent="0.2">
      <c r="A20" s="665" t="s">
        <v>166</v>
      </c>
      <c r="B20" s="666"/>
      <c r="C20" s="666"/>
      <c r="D20" s="666"/>
      <c r="E20" s="666"/>
      <c r="F20" s="667">
        <v>0</v>
      </c>
      <c r="G20" s="667"/>
      <c r="H20" s="667"/>
      <c r="I20" s="667"/>
      <c r="J20" s="668"/>
    </row>
    <row r="21" spans="1:10" s="61" customFormat="1" ht="50.1" customHeight="1" x14ac:dyDescent="0.2">
      <c r="A21" s="665" t="s">
        <v>167</v>
      </c>
      <c r="B21" s="666"/>
      <c r="C21" s="666"/>
      <c r="D21" s="666"/>
      <c r="E21" s="666"/>
      <c r="F21" s="667"/>
      <c r="G21" s="667"/>
      <c r="H21" s="667"/>
      <c r="I21" s="667"/>
      <c r="J21" s="668"/>
    </row>
    <row r="22" spans="1:10" s="61" customFormat="1" ht="50.1" customHeight="1" thickBot="1" x14ac:dyDescent="0.25">
      <c r="A22" s="669" t="s">
        <v>168</v>
      </c>
      <c r="B22" s="670"/>
      <c r="C22" s="670"/>
      <c r="D22" s="670"/>
      <c r="E22" s="670"/>
      <c r="F22" s="671">
        <f>SUM(F18:F21)</f>
        <v>15469252.9</v>
      </c>
      <c r="G22" s="671"/>
      <c r="H22" s="671"/>
      <c r="I22" s="671"/>
      <c r="J22" s="672"/>
    </row>
    <row r="23" spans="1:10" ht="13.5" thickTop="1" x14ac:dyDescent="0.2"/>
  </sheetData>
  <sheetProtection formatRows="0"/>
  <mergeCells count="19">
    <mergeCell ref="A1:J2"/>
    <mergeCell ref="A3:J4"/>
    <mergeCell ref="A17:E17"/>
    <mergeCell ref="F17:J17"/>
    <mergeCell ref="A12:J14"/>
    <mergeCell ref="A5:J11"/>
    <mergeCell ref="A15:E15"/>
    <mergeCell ref="F15:J15"/>
    <mergeCell ref="A16:J16"/>
    <mergeCell ref="A21:E21"/>
    <mergeCell ref="F21:J21"/>
    <mergeCell ref="A18:E18"/>
    <mergeCell ref="F18:J18"/>
    <mergeCell ref="A22:E22"/>
    <mergeCell ref="F22:J22"/>
    <mergeCell ref="A19:E19"/>
    <mergeCell ref="F19:J19"/>
    <mergeCell ref="A20:E20"/>
    <mergeCell ref="F20:J20"/>
  </mergeCells>
  <dataValidations count="1">
    <dataValidation type="list" allowBlank="1" showInputMessage="1" showErrorMessage="1" sqref="F15:J15">
      <formula1>yes</formula1>
    </dataValidation>
  </dataValidations>
  <pageMargins left="0.75" right="0.75" top="1" bottom="1" header="0.5" footer="0.5"/>
  <pageSetup scale="86" fitToHeight="0" orientation="landscape" r:id="rId1"/>
  <headerFooter alignWithMargins="0">
    <oddHeader>&amp;LFFY 2012 Consolidated Application&amp;C&amp;A&amp;R&amp;P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16"/>
  <sheetViews>
    <sheetView zoomScale="85" zoomScaleNormal="85" workbookViewId="0">
      <selection activeCell="A198" sqref="A198:J214"/>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699" t="s">
        <v>563</v>
      </c>
      <c r="B1" s="700"/>
      <c r="C1" s="700"/>
      <c r="D1" s="700"/>
      <c r="E1" s="700"/>
      <c r="F1" s="700"/>
      <c r="G1" s="700"/>
      <c r="H1" s="700"/>
      <c r="I1" s="700"/>
      <c r="J1" s="701"/>
    </row>
    <row r="2" spans="1:10" ht="12.75" customHeight="1" x14ac:dyDescent="0.2">
      <c r="A2" s="702"/>
      <c r="B2" s="703"/>
      <c r="C2" s="703"/>
      <c r="D2" s="703"/>
      <c r="E2" s="703"/>
      <c r="F2" s="703"/>
      <c r="G2" s="703"/>
      <c r="H2" s="703"/>
      <c r="I2" s="703"/>
      <c r="J2" s="704"/>
    </row>
    <row r="3" spans="1:10" ht="12.75" customHeight="1" x14ac:dyDescent="0.2">
      <c r="A3" s="673" t="s">
        <v>564</v>
      </c>
      <c r="B3" s="674"/>
      <c r="C3" s="674"/>
      <c r="D3" s="674"/>
      <c r="E3" s="674"/>
      <c r="F3" s="674"/>
      <c r="G3" s="674"/>
      <c r="H3" s="674"/>
      <c r="I3" s="674"/>
      <c r="J3" s="675"/>
    </row>
    <row r="4" spans="1:10" ht="12.75" customHeight="1" x14ac:dyDescent="0.2">
      <c r="A4" s="705"/>
      <c r="B4" s="706"/>
      <c r="C4" s="706"/>
      <c r="D4" s="706"/>
      <c r="E4" s="706"/>
      <c r="F4" s="706"/>
      <c r="G4" s="706"/>
      <c r="H4" s="706"/>
      <c r="I4" s="706"/>
      <c r="J4" s="707"/>
    </row>
    <row r="5" spans="1:10" ht="12.75" customHeight="1" x14ac:dyDescent="0.2">
      <c r="A5" s="705"/>
      <c r="B5" s="706"/>
      <c r="C5" s="706"/>
      <c r="D5" s="706"/>
      <c r="E5" s="706"/>
      <c r="F5" s="706"/>
      <c r="G5" s="706"/>
      <c r="H5" s="706"/>
      <c r="I5" s="706"/>
      <c r="J5" s="707"/>
    </row>
    <row r="6" spans="1:10" ht="12.75" customHeight="1" x14ac:dyDescent="0.2">
      <c r="A6" s="676"/>
      <c r="B6" s="677"/>
      <c r="C6" s="677"/>
      <c r="D6" s="677"/>
      <c r="E6" s="677"/>
      <c r="F6" s="677"/>
      <c r="G6" s="677"/>
      <c r="H6" s="677"/>
      <c r="I6" s="677"/>
      <c r="J6" s="678"/>
    </row>
    <row r="7" spans="1:10" s="61" customFormat="1" x14ac:dyDescent="0.2">
      <c r="A7" s="55"/>
      <c r="B7" s="56"/>
      <c r="C7" s="57"/>
      <c r="D7" s="58"/>
      <c r="E7" s="58"/>
      <c r="F7" s="58"/>
      <c r="G7" s="58"/>
      <c r="H7" s="59"/>
      <c r="I7" s="57"/>
      <c r="J7" s="60"/>
    </row>
    <row r="8" spans="1:10" ht="12.75" customHeight="1" x14ac:dyDescent="0.2">
      <c r="A8" s="708" t="s">
        <v>209</v>
      </c>
      <c r="B8" s="709"/>
      <c r="C8" s="709"/>
      <c r="D8" s="709"/>
      <c r="E8" s="709"/>
      <c r="F8" s="709"/>
      <c r="G8" s="709"/>
      <c r="H8" s="709"/>
      <c r="I8" s="709"/>
      <c r="J8" s="710"/>
    </row>
    <row r="9" spans="1:10" ht="12.75" customHeight="1" x14ac:dyDescent="0.2">
      <c r="A9" s="711"/>
      <c r="B9" s="712"/>
      <c r="C9" s="712"/>
      <c r="D9" s="712"/>
      <c r="E9" s="712"/>
      <c r="F9" s="712"/>
      <c r="G9" s="712"/>
      <c r="H9" s="712"/>
      <c r="I9" s="712"/>
      <c r="J9" s="713"/>
    </row>
    <row r="10" spans="1:10" ht="12.75" customHeight="1" x14ac:dyDescent="0.2">
      <c r="A10" s="711"/>
      <c r="B10" s="712"/>
      <c r="C10" s="712"/>
      <c r="D10" s="712"/>
      <c r="E10" s="712"/>
      <c r="F10" s="712"/>
      <c r="G10" s="712"/>
      <c r="H10" s="712"/>
      <c r="I10" s="712"/>
      <c r="J10" s="713"/>
    </row>
    <row r="11" spans="1:10" ht="12.75" customHeight="1" x14ac:dyDescent="0.2">
      <c r="A11" s="711"/>
      <c r="B11" s="712"/>
      <c r="C11" s="712"/>
      <c r="D11" s="712"/>
      <c r="E11" s="712"/>
      <c r="F11" s="712"/>
      <c r="G11" s="712"/>
      <c r="H11" s="712"/>
      <c r="I11" s="712"/>
      <c r="J11" s="713"/>
    </row>
    <row r="12" spans="1:10" ht="12.75" customHeight="1" x14ac:dyDescent="0.2">
      <c r="A12" s="711"/>
      <c r="B12" s="712"/>
      <c r="C12" s="712"/>
      <c r="D12" s="712"/>
      <c r="E12" s="712"/>
      <c r="F12" s="712"/>
      <c r="G12" s="712"/>
      <c r="H12" s="712"/>
      <c r="I12" s="712"/>
      <c r="J12" s="713"/>
    </row>
    <row r="13" spans="1:10" ht="12.75" customHeight="1" x14ac:dyDescent="0.2">
      <c r="A13" s="711"/>
      <c r="B13" s="712"/>
      <c r="C13" s="712"/>
      <c r="D13" s="712"/>
      <c r="E13" s="712"/>
      <c r="F13" s="712"/>
      <c r="G13" s="712"/>
      <c r="H13" s="712"/>
      <c r="I13" s="712"/>
      <c r="J13" s="713"/>
    </row>
    <row r="14" spans="1:10" ht="12.75" customHeight="1" x14ac:dyDescent="0.2">
      <c r="A14" s="711"/>
      <c r="B14" s="712"/>
      <c r="C14" s="712"/>
      <c r="D14" s="712"/>
      <c r="E14" s="712"/>
      <c r="F14" s="712"/>
      <c r="G14" s="712"/>
      <c r="H14" s="712"/>
      <c r="I14" s="712"/>
      <c r="J14" s="713"/>
    </row>
    <row r="15" spans="1:10" ht="12.75" customHeight="1" x14ac:dyDescent="0.2">
      <c r="A15" s="711"/>
      <c r="B15" s="712"/>
      <c r="C15" s="712"/>
      <c r="D15" s="712"/>
      <c r="E15" s="712"/>
      <c r="F15" s="712"/>
      <c r="G15" s="712"/>
      <c r="H15" s="712"/>
      <c r="I15" s="712"/>
      <c r="J15" s="713"/>
    </row>
    <row r="16" spans="1:10" ht="12.75" customHeight="1" x14ac:dyDescent="0.2">
      <c r="A16" s="711"/>
      <c r="B16" s="712"/>
      <c r="C16" s="712"/>
      <c r="D16" s="712"/>
      <c r="E16" s="712"/>
      <c r="F16" s="712"/>
      <c r="G16" s="712"/>
      <c r="H16" s="712"/>
      <c r="I16" s="712"/>
      <c r="J16" s="713"/>
    </row>
    <row r="17" spans="1:10" ht="12.75" customHeight="1" x14ac:dyDescent="0.2">
      <c r="A17" s="711"/>
      <c r="B17" s="712"/>
      <c r="C17" s="712"/>
      <c r="D17" s="712"/>
      <c r="E17" s="712"/>
      <c r="F17" s="712"/>
      <c r="G17" s="712"/>
      <c r="H17" s="712"/>
      <c r="I17" s="712"/>
      <c r="J17" s="713"/>
    </row>
    <row r="18" spans="1:10" ht="12.75" customHeight="1" x14ac:dyDescent="0.2">
      <c r="A18" s="711"/>
      <c r="B18" s="712"/>
      <c r="C18" s="712"/>
      <c r="D18" s="712"/>
      <c r="E18" s="712"/>
      <c r="F18" s="712"/>
      <c r="G18" s="712"/>
      <c r="H18" s="712"/>
      <c r="I18" s="712"/>
      <c r="J18" s="713"/>
    </row>
    <row r="19" spans="1:10" ht="13.5" thickBot="1" x14ac:dyDescent="0.25">
      <c r="A19" s="86"/>
      <c r="B19" s="70"/>
      <c r="C19" s="70"/>
      <c r="D19" s="70"/>
      <c r="E19" s="70"/>
      <c r="F19" s="70"/>
      <c r="G19" s="70"/>
      <c r="H19" s="70"/>
      <c r="I19" s="70"/>
      <c r="J19" s="110"/>
    </row>
    <row r="20" spans="1:10" ht="13.5" customHeight="1" thickBot="1" x14ac:dyDescent="0.25">
      <c r="A20" s="87"/>
      <c r="B20" s="71" t="s">
        <v>23</v>
      </c>
      <c r="C20" s="72"/>
      <c r="D20" s="698" t="s">
        <v>210</v>
      </c>
      <c r="E20" s="698"/>
      <c r="F20" s="698"/>
      <c r="G20" s="698"/>
      <c r="H20" s="698"/>
      <c r="I20" s="698"/>
      <c r="J20" s="714"/>
    </row>
    <row r="21" spans="1:10" ht="13.5" customHeight="1" x14ac:dyDescent="0.2">
      <c r="A21" s="87"/>
      <c r="B21" s="74"/>
      <c r="C21" s="72"/>
      <c r="D21" s="698"/>
      <c r="E21" s="698"/>
      <c r="F21" s="698"/>
      <c r="G21" s="698"/>
      <c r="H21" s="698"/>
      <c r="I21" s="698"/>
      <c r="J21" s="714"/>
    </row>
    <row r="22" spans="1:10" ht="13.5" thickBot="1" x14ac:dyDescent="0.25">
      <c r="A22" s="87"/>
      <c r="B22" s="73"/>
      <c r="C22" s="72"/>
      <c r="D22" s="72"/>
      <c r="E22" s="72"/>
      <c r="F22" s="72"/>
      <c r="G22" s="72"/>
      <c r="H22" s="72"/>
      <c r="I22" s="72"/>
      <c r="J22" s="84"/>
    </row>
    <row r="23" spans="1:10" ht="13.5" customHeight="1" thickBot="1" x14ac:dyDescent="0.25">
      <c r="A23" s="87"/>
      <c r="B23" s="74"/>
      <c r="C23" s="72"/>
      <c r="D23" s="698" t="s">
        <v>211</v>
      </c>
      <c r="E23" s="698"/>
      <c r="F23" s="698"/>
      <c r="G23" s="698"/>
      <c r="H23" s="715"/>
      <c r="I23" s="82">
        <v>41085</v>
      </c>
      <c r="J23" s="124"/>
    </row>
    <row r="24" spans="1:10" ht="12.75" hidden="1" customHeight="1" x14ac:dyDescent="0.2">
      <c r="A24" s="87"/>
      <c r="B24" s="74"/>
      <c r="C24" s="72"/>
      <c r="D24" s="123"/>
      <c r="E24" s="123"/>
      <c r="F24" s="123"/>
      <c r="G24" s="123"/>
      <c r="H24" s="123"/>
      <c r="I24" s="123"/>
      <c r="J24" s="124"/>
    </row>
    <row r="25" spans="1:10" ht="12.75" customHeight="1" thickBot="1" x14ac:dyDescent="0.25">
      <c r="A25" s="87"/>
      <c r="B25" s="74"/>
      <c r="C25" s="72"/>
      <c r="D25" s="123"/>
      <c r="E25" s="123"/>
      <c r="F25" s="123"/>
      <c r="G25" s="123"/>
      <c r="H25" s="123"/>
      <c r="I25" s="123"/>
      <c r="J25" s="124"/>
    </row>
    <row r="26" spans="1:10" ht="12.75" customHeight="1" thickBot="1" x14ac:dyDescent="0.25">
      <c r="A26" s="87"/>
      <c r="B26" s="74"/>
      <c r="C26" s="72"/>
      <c r="D26" s="698" t="s">
        <v>212</v>
      </c>
      <c r="E26" s="698"/>
      <c r="F26" s="698"/>
      <c r="G26" s="698"/>
      <c r="H26" s="715"/>
      <c r="I26" s="82">
        <v>41138</v>
      </c>
      <c r="J26" s="124"/>
    </row>
    <row r="27" spans="1:10" ht="12.75" customHeight="1" x14ac:dyDescent="0.2">
      <c r="A27" s="87"/>
      <c r="B27" s="74"/>
      <c r="C27" s="72"/>
      <c r="D27" s="123"/>
      <c r="E27" s="123"/>
      <c r="F27" s="123"/>
      <c r="G27" s="123"/>
      <c r="H27" s="123"/>
      <c r="I27" s="123"/>
      <c r="J27" s="124"/>
    </row>
    <row r="28" spans="1:10" ht="12.75" customHeight="1" x14ac:dyDescent="0.2">
      <c r="A28" s="87"/>
      <c r="B28" s="719" t="s">
        <v>213</v>
      </c>
      <c r="C28" s="719"/>
      <c r="D28" s="719"/>
      <c r="E28" s="719"/>
      <c r="F28" s="719"/>
      <c r="G28" s="719"/>
      <c r="H28" s="719"/>
      <c r="I28" s="123"/>
      <c r="J28" s="95"/>
    </row>
    <row r="29" spans="1:10" ht="12.75" customHeight="1" x14ac:dyDescent="0.2">
      <c r="A29" s="87"/>
      <c r="B29" s="73"/>
      <c r="C29" s="72"/>
      <c r="D29" s="72"/>
      <c r="E29" s="72"/>
      <c r="F29" s="72"/>
      <c r="G29" s="72"/>
      <c r="H29" s="72"/>
      <c r="I29" s="72"/>
      <c r="J29" s="84"/>
    </row>
    <row r="30" spans="1:10" ht="12.75" customHeight="1" x14ac:dyDescent="0.2">
      <c r="A30" s="87"/>
      <c r="B30" s="720" t="s">
        <v>223</v>
      </c>
      <c r="C30" s="720"/>
      <c r="D30" s="72"/>
      <c r="E30" s="72"/>
      <c r="F30" s="72"/>
      <c r="G30" s="72"/>
      <c r="H30" s="72"/>
      <c r="I30" s="72"/>
      <c r="J30" s="84"/>
    </row>
    <row r="31" spans="1:10" ht="12.75" customHeight="1" thickBot="1" x14ac:dyDescent="0.25">
      <c r="A31" s="87"/>
      <c r="B31" s="73"/>
      <c r="C31" s="72"/>
      <c r="D31" s="72"/>
      <c r="E31" s="72"/>
      <c r="F31" s="72"/>
      <c r="G31" s="72"/>
      <c r="H31" s="72"/>
      <c r="I31" s="72"/>
      <c r="J31" s="84"/>
    </row>
    <row r="32" spans="1:10" ht="12.75" customHeight="1" thickBot="1" x14ac:dyDescent="0.25">
      <c r="A32" s="87"/>
      <c r="B32" s="71" t="s">
        <v>23</v>
      </c>
      <c r="C32" s="72"/>
      <c r="D32" s="698" t="s">
        <v>219</v>
      </c>
      <c r="E32" s="698"/>
      <c r="F32" s="698"/>
      <c r="G32" s="698"/>
      <c r="H32" s="698"/>
      <c r="I32" s="123"/>
      <c r="J32" s="124"/>
    </row>
    <row r="33" spans="1:10" ht="13.5" thickBot="1" x14ac:dyDescent="0.25">
      <c r="A33" s="87"/>
      <c r="B33" s="74"/>
      <c r="C33" s="72"/>
      <c r="D33" s="123"/>
      <c r="E33" s="123"/>
      <c r="F33" s="123"/>
      <c r="G33" s="123"/>
      <c r="H33" s="123"/>
      <c r="I33" s="123"/>
      <c r="J33" s="124"/>
    </row>
    <row r="34" spans="1:10" ht="12.75" customHeight="1" thickBot="1" x14ac:dyDescent="0.25">
      <c r="A34" s="87"/>
      <c r="B34" s="76" t="s">
        <v>23</v>
      </c>
      <c r="C34" s="72"/>
      <c r="D34" s="697" t="s">
        <v>214</v>
      </c>
      <c r="E34" s="697"/>
      <c r="F34" s="697"/>
      <c r="G34" s="697"/>
      <c r="H34" s="697"/>
      <c r="I34" s="75"/>
      <c r="J34" s="89"/>
    </row>
    <row r="35" spans="1:10" ht="13.5" thickBot="1" x14ac:dyDescent="0.25">
      <c r="A35" s="87"/>
      <c r="B35" s="74"/>
      <c r="C35" s="72"/>
      <c r="D35" s="716" t="s">
        <v>732</v>
      </c>
      <c r="E35" s="717"/>
      <c r="F35" s="717"/>
      <c r="G35" s="717"/>
      <c r="H35" s="717"/>
      <c r="I35" s="718"/>
      <c r="J35" s="124"/>
    </row>
    <row r="36" spans="1:10" ht="13.5" thickBot="1" x14ac:dyDescent="0.25">
      <c r="A36" s="87"/>
      <c r="B36" s="74"/>
      <c r="C36" s="72"/>
      <c r="D36" s="123"/>
      <c r="E36" s="123"/>
      <c r="F36" s="123"/>
      <c r="G36" s="123"/>
      <c r="H36" s="123"/>
      <c r="I36" s="123"/>
      <c r="J36" s="124"/>
    </row>
    <row r="37" spans="1:10" ht="13.5" thickBot="1" x14ac:dyDescent="0.25">
      <c r="A37" s="87"/>
      <c r="B37" s="76" t="s">
        <v>23</v>
      </c>
      <c r="C37" s="72"/>
      <c r="D37" s="123" t="s">
        <v>215</v>
      </c>
      <c r="E37" s="123"/>
      <c r="F37" s="123"/>
      <c r="G37" s="123"/>
      <c r="H37" s="123"/>
      <c r="I37" s="123"/>
      <c r="J37" s="124"/>
    </row>
    <row r="38" spans="1:10" ht="13.5" thickBot="1" x14ac:dyDescent="0.25">
      <c r="A38" s="87"/>
      <c r="B38" s="73"/>
      <c r="C38" s="72"/>
      <c r="D38" s="77"/>
      <c r="E38" s="72"/>
      <c r="F38" s="72"/>
      <c r="G38" s="72"/>
      <c r="H38" s="72"/>
      <c r="I38" s="72"/>
      <c r="J38" s="84"/>
    </row>
    <row r="39" spans="1:10" ht="12.75" customHeight="1" thickBot="1" x14ac:dyDescent="0.25">
      <c r="A39" s="87"/>
      <c r="B39" s="71" t="s">
        <v>23</v>
      </c>
      <c r="C39" s="72"/>
      <c r="D39" s="698" t="s">
        <v>216</v>
      </c>
      <c r="E39" s="698"/>
      <c r="F39" s="698"/>
      <c r="G39" s="698"/>
      <c r="H39" s="698"/>
      <c r="I39" s="123"/>
      <c r="J39" s="124"/>
    </row>
    <row r="40" spans="1:10" ht="13.5" thickBot="1" x14ac:dyDescent="0.25">
      <c r="A40" s="87"/>
      <c r="B40" s="74"/>
      <c r="C40" s="72"/>
      <c r="D40" s="123"/>
      <c r="E40" s="123"/>
      <c r="F40" s="123"/>
      <c r="G40" s="123"/>
      <c r="H40" s="123"/>
      <c r="I40" s="123"/>
      <c r="J40" s="124"/>
    </row>
    <row r="41" spans="1:10" ht="12.75" customHeight="1" thickBot="1" x14ac:dyDescent="0.25">
      <c r="A41" s="87"/>
      <c r="B41" s="76" t="s">
        <v>23</v>
      </c>
      <c r="C41" s="72"/>
      <c r="D41" s="697" t="s">
        <v>217</v>
      </c>
      <c r="E41" s="697"/>
      <c r="F41" s="697"/>
      <c r="G41" s="697"/>
      <c r="H41" s="697"/>
      <c r="I41" s="75"/>
      <c r="J41" s="89"/>
    </row>
    <row r="42" spans="1:10" ht="13.5" thickBot="1" x14ac:dyDescent="0.25">
      <c r="A42" s="87"/>
      <c r="B42" s="74"/>
      <c r="C42" s="72"/>
      <c r="D42" s="123"/>
      <c r="E42" s="123"/>
      <c r="F42" s="123"/>
      <c r="G42" s="123"/>
      <c r="H42" s="123"/>
      <c r="I42" s="123"/>
      <c r="J42" s="124"/>
    </row>
    <row r="43" spans="1:10" ht="13.5" thickBot="1" x14ac:dyDescent="0.25">
      <c r="A43" s="87"/>
      <c r="B43" s="76" t="s">
        <v>23</v>
      </c>
      <c r="C43" s="72"/>
      <c r="D43" s="123" t="s">
        <v>218</v>
      </c>
      <c r="E43" s="123"/>
      <c r="F43" s="123"/>
      <c r="G43" s="123"/>
      <c r="H43" s="123"/>
      <c r="I43" s="123"/>
      <c r="J43" s="124"/>
    </row>
    <row r="44" spans="1:10" ht="13.5" thickBot="1" x14ac:dyDescent="0.25">
      <c r="A44" s="87"/>
      <c r="B44" s="73"/>
      <c r="C44" s="72"/>
      <c r="D44" s="77"/>
      <c r="E44" s="72"/>
      <c r="F44" s="72"/>
      <c r="G44" s="72"/>
      <c r="H44" s="72"/>
      <c r="I44" s="72"/>
      <c r="J44" s="84"/>
    </row>
    <row r="45" spans="1:10" ht="12.75" customHeight="1" thickBot="1" x14ac:dyDescent="0.25">
      <c r="A45" s="87"/>
      <c r="B45" s="71" t="s">
        <v>23</v>
      </c>
      <c r="C45" s="72"/>
      <c r="D45" s="698" t="s">
        <v>220</v>
      </c>
      <c r="E45" s="698"/>
      <c r="F45" s="698"/>
      <c r="G45" s="698"/>
      <c r="H45" s="698"/>
      <c r="I45" s="123"/>
      <c r="J45" s="124"/>
    </row>
    <row r="46" spans="1:10" ht="13.5" thickBot="1" x14ac:dyDescent="0.25">
      <c r="A46" s="87"/>
      <c r="B46" s="74"/>
      <c r="C46" s="72"/>
      <c r="D46" s="123"/>
      <c r="E46" s="123"/>
      <c r="F46" s="123"/>
      <c r="G46" s="123"/>
      <c r="H46" s="123"/>
      <c r="I46" s="123"/>
      <c r="J46" s="124"/>
    </row>
    <row r="47" spans="1:10" ht="12.75" customHeight="1" thickBot="1" x14ac:dyDescent="0.25">
      <c r="A47" s="87"/>
      <c r="B47" s="76" t="s">
        <v>23</v>
      </c>
      <c r="C47" s="72"/>
      <c r="D47" s="697" t="s">
        <v>221</v>
      </c>
      <c r="E47" s="697"/>
      <c r="F47" s="697"/>
      <c r="G47" s="697"/>
      <c r="H47" s="697"/>
      <c r="I47" s="75"/>
      <c r="J47" s="89"/>
    </row>
    <row r="48" spans="1:10" ht="13.5" customHeight="1" thickBot="1" x14ac:dyDescent="0.25">
      <c r="A48" s="87"/>
      <c r="B48" s="74"/>
      <c r="C48" s="72"/>
      <c r="D48" s="111"/>
      <c r="E48" s="123"/>
      <c r="F48" s="123"/>
      <c r="G48" s="123"/>
      <c r="H48" s="123"/>
      <c r="I48" s="123"/>
      <c r="J48" s="124"/>
    </row>
    <row r="49" spans="1:10" ht="12.75" customHeight="1" thickBot="1" x14ac:dyDescent="0.25">
      <c r="A49" s="87"/>
      <c r="B49" s="76"/>
      <c r="C49" s="72"/>
      <c r="D49" s="698" t="s">
        <v>222</v>
      </c>
      <c r="E49" s="698"/>
      <c r="F49" s="698"/>
      <c r="G49" s="698"/>
      <c r="H49" s="698"/>
      <c r="I49" s="698"/>
      <c r="J49" s="124"/>
    </row>
    <row r="50" spans="1:10" ht="13.5" thickBot="1" x14ac:dyDescent="0.25">
      <c r="A50" s="87"/>
      <c r="B50" s="74"/>
      <c r="C50" s="72"/>
      <c r="D50" s="716"/>
      <c r="E50" s="717"/>
      <c r="F50" s="717"/>
      <c r="G50" s="717"/>
      <c r="H50" s="717"/>
      <c r="I50" s="718"/>
      <c r="J50" s="124"/>
    </row>
    <row r="51" spans="1:10" x14ac:dyDescent="0.2">
      <c r="A51" s="87"/>
      <c r="B51" s="73"/>
      <c r="C51" s="72"/>
      <c r="D51" s="77"/>
      <c r="E51" s="72"/>
      <c r="F51" s="72"/>
      <c r="G51" s="72"/>
      <c r="H51" s="72"/>
      <c r="I51" s="72"/>
      <c r="J51" s="84"/>
    </row>
    <row r="52" spans="1:10" ht="12.75" customHeight="1" x14ac:dyDescent="0.2">
      <c r="A52" s="87"/>
      <c r="B52" s="720" t="s">
        <v>224</v>
      </c>
      <c r="C52" s="720"/>
      <c r="D52" s="72"/>
      <c r="E52" s="72"/>
      <c r="F52" s="72"/>
      <c r="G52" s="72"/>
      <c r="H52" s="72"/>
      <c r="I52" s="72"/>
      <c r="J52" s="84"/>
    </row>
    <row r="53" spans="1:10" ht="12.75" customHeight="1" thickBot="1" x14ac:dyDescent="0.25">
      <c r="A53" s="87"/>
      <c r="B53" s="73"/>
      <c r="C53" s="72"/>
      <c r="D53" s="72"/>
      <c r="E53" s="72"/>
      <c r="F53" s="72"/>
      <c r="G53" s="72"/>
      <c r="H53" s="72"/>
      <c r="I53" s="72"/>
      <c r="J53" s="84"/>
    </row>
    <row r="54" spans="1:10" ht="12.75" customHeight="1" thickBot="1" x14ac:dyDescent="0.25">
      <c r="A54" s="87"/>
      <c r="B54" s="71" t="s">
        <v>23</v>
      </c>
      <c r="C54" s="72"/>
      <c r="D54" s="698" t="s">
        <v>225</v>
      </c>
      <c r="E54" s="698"/>
      <c r="F54" s="698"/>
      <c r="G54" s="698"/>
      <c r="H54" s="698"/>
      <c r="I54" s="123"/>
      <c r="J54" s="124"/>
    </row>
    <row r="55" spans="1:10" ht="13.5" thickBot="1" x14ac:dyDescent="0.25">
      <c r="A55" s="87"/>
      <c r="B55" s="74"/>
      <c r="C55" s="72"/>
      <c r="D55" s="123"/>
      <c r="E55" s="123"/>
      <c r="F55" s="123"/>
      <c r="G55" s="123"/>
      <c r="H55" s="123"/>
      <c r="I55" s="123"/>
      <c r="J55" s="124"/>
    </row>
    <row r="56" spans="1:10" ht="12.75" customHeight="1" thickBot="1" x14ac:dyDescent="0.25">
      <c r="A56" s="87"/>
      <c r="B56" s="76" t="s">
        <v>23</v>
      </c>
      <c r="C56" s="72"/>
      <c r="D56" s="697" t="s">
        <v>226</v>
      </c>
      <c r="E56" s="697"/>
      <c r="F56" s="697"/>
      <c r="G56" s="697"/>
      <c r="H56" s="697"/>
      <c r="I56" s="75"/>
      <c r="J56" s="89"/>
    </row>
    <row r="57" spans="1:10" ht="13.5" thickBot="1" x14ac:dyDescent="0.25">
      <c r="A57" s="87"/>
      <c r="B57" s="74"/>
      <c r="C57" s="72"/>
      <c r="D57" s="123"/>
      <c r="E57" s="123"/>
      <c r="F57" s="123"/>
      <c r="G57" s="123"/>
      <c r="H57" s="123"/>
      <c r="I57" s="123"/>
      <c r="J57" s="124"/>
    </row>
    <row r="58" spans="1:10" ht="12.75" customHeight="1" thickBot="1" x14ac:dyDescent="0.25">
      <c r="A58" s="87"/>
      <c r="B58" s="76" t="s">
        <v>23</v>
      </c>
      <c r="C58" s="72"/>
      <c r="D58" s="698" t="s">
        <v>227</v>
      </c>
      <c r="E58" s="698"/>
      <c r="F58" s="698"/>
      <c r="G58" s="698"/>
      <c r="H58" s="698"/>
      <c r="I58" s="123"/>
      <c r="J58" s="124"/>
    </row>
    <row r="59" spans="1:10" ht="13.5" thickBot="1" x14ac:dyDescent="0.25">
      <c r="A59" s="87"/>
      <c r="B59" s="73"/>
      <c r="C59" s="72"/>
      <c r="D59" s="77"/>
      <c r="E59" s="72"/>
      <c r="F59" s="72"/>
      <c r="G59" s="72"/>
      <c r="H59" s="72"/>
      <c r="I59" s="72"/>
      <c r="J59" s="84"/>
    </row>
    <row r="60" spans="1:10" ht="12.75" customHeight="1" thickBot="1" x14ac:dyDescent="0.25">
      <c r="A60" s="87"/>
      <c r="B60" s="71" t="s">
        <v>23</v>
      </c>
      <c r="C60" s="72"/>
      <c r="D60" s="698" t="s">
        <v>228</v>
      </c>
      <c r="E60" s="698"/>
      <c r="F60" s="698"/>
      <c r="G60" s="698"/>
      <c r="H60" s="698"/>
      <c r="I60" s="123"/>
      <c r="J60" s="124"/>
    </row>
    <row r="61" spans="1:10" ht="13.5" thickBot="1" x14ac:dyDescent="0.25">
      <c r="A61" s="87"/>
      <c r="B61" s="74"/>
      <c r="C61" s="72"/>
      <c r="D61" s="123"/>
      <c r="E61" s="123"/>
      <c r="F61" s="123"/>
      <c r="G61" s="123"/>
      <c r="H61" s="123"/>
      <c r="I61" s="123"/>
      <c r="J61" s="124"/>
    </row>
    <row r="62" spans="1:10" ht="12.75" customHeight="1" thickBot="1" x14ac:dyDescent="0.25">
      <c r="A62" s="87"/>
      <c r="B62" s="76" t="s">
        <v>23</v>
      </c>
      <c r="C62" s="72"/>
      <c r="D62" s="697" t="s">
        <v>229</v>
      </c>
      <c r="E62" s="697"/>
      <c r="F62" s="697"/>
      <c r="G62" s="697"/>
      <c r="H62" s="697"/>
      <c r="I62" s="75"/>
      <c r="J62" s="89"/>
    </row>
    <row r="63" spans="1:10" ht="13.5" thickBot="1" x14ac:dyDescent="0.25">
      <c r="A63" s="87"/>
      <c r="B63" s="74"/>
      <c r="C63" s="72"/>
      <c r="D63" s="123"/>
      <c r="E63" s="123"/>
      <c r="F63" s="123"/>
      <c r="G63" s="123"/>
      <c r="H63" s="123"/>
      <c r="I63" s="123"/>
      <c r="J63" s="124"/>
    </row>
    <row r="64" spans="1:10" ht="12.75" customHeight="1" thickBot="1" x14ac:dyDescent="0.25">
      <c r="A64" s="87"/>
      <c r="B64" s="76"/>
      <c r="C64" s="72"/>
      <c r="D64" s="698" t="s">
        <v>222</v>
      </c>
      <c r="E64" s="698"/>
      <c r="F64" s="698"/>
      <c r="G64" s="698"/>
      <c r="H64" s="698"/>
      <c r="I64" s="698"/>
      <c r="J64" s="124"/>
    </row>
    <row r="65" spans="1:10" ht="13.5" thickBot="1" x14ac:dyDescent="0.25">
      <c r="A65" s="87"/>
      <c r="B65" s="74"/>
      <c r="C65" s="72"/>
      <c r="D65" s="716"/>
      <c r="E65" s="717"/>
      <c r="F65" s="717"/>
      <c r="G65" s="717"/>
      <c r="H65" s="717"/>
      <c r="I65" s="718"/>
      <c r="J65" s="124"/>
    </row>
    <row r="66" spans="1:10" x14ac:dyDescent="0.2">
      <c r="A66" s="90"/>
      <c r="B66" s="78"/>
      <c r="C66" s="79"/>
      <c r="D66" s="80"/>
      <c r="E66" s="80"/>
      <c r="F66" s="80"/>
      <c r="G66" s="80"/>
      <c r="H66" s="80"/>
      <c r="I66" s="80"/>
      <c r="J66" s="91"/>
    </row>
    <row r="67" spans="1:10" s="61" customFormat="1" x14ac:dyDescent="0.2">
      <c r="A67" s="55"/>
      <c r="B67" s="56"/>
      <c r="C67" s="57"/>
      <c r="D67" s="58"/>
      <c r="E67" s="58"/>
      <c r="F67" s="58"/>
      <c r="G67" s="58"/>
      <c r="H67" s="59"/>
      <c r="I67" s="57"/>
      <c r="J67" s="60"/>
    </row>
    <row r="68" spans="1:10" s="61" customFormat="1" ht="25.5" customHeight="1" x14ac:dyDescent="0.2">
      <c r="A68" s="730" t="s">
        <v>565</v>
      </c>
      <c r="B68" s="731"/>
      <c r="C68" s="731"/>
      <c r="D68" s="731"/>
      <c r="E68" s="731"/>
      <c r="F68" s="731"/>
      <c r="G68" s="731"/>
      <c r="H68" s="731"/>
      <c r="I68" s="731"/>
      <c r="J68" s="732"/>
    </row>
    <row r="69" spans="1:10" ht="12.75" customHeight="1" x14ac:dyDescent="0.2">
      <c r="A69" s="721" t="s">
        <v>322</v>
      </c>
      <c r="B69" s="722"/>
      <c r="C69" s="722"/>
      <c r="D69" s="722"/>
      <c r="E69" s="722"/>
      <c r="F69" s="722"/>
      <c r="G69" s="722"/>
      <c r="H69" s="722"/>
      <c r="I69" s="722"/>
      <c r="J69" s="723"/>
    </row>
    <row r="70" spans="1:10" ht="12.75" customHeight="1" x14ac:dyDescent="0.2">
      <c r="A70" s="724"/>
      <c r="B70" s="725"/>
      <c r="C70" s="725"/>
      <c r="D70" s="725"/>
      <c r="E70" s="725"/>
      <c r="F70" s="725"/>
      <c r="G70" s="725"/>
      <c r="H70" s="725"/>
      <c r="I70" s="725"/>
      <c r="J70" s="726"/>
    </row>
    <row r="71" spans="1:10" ht="12.75" customHeight="1" x14ac:dyDescent="0.2">
      <c r="A71" s="724"/>
      <c r="B71" s="725"/>
      <c r="C71" s="725"/>
      <c r="D71" s="725"/>
      <c r="E71" s="725"/>
      <c r="F71" s="725"/>
      <c r="G71" s="725"/>
      <c r="H71" s="725"/>
      <c r="I71" s="725"/>
      <c r="J71" s="726"/>
    </row>
    <row r="72" spans="1:10" ht="15" customHeight="1" x14ac:dyDescent="0.2">
      <c r="A72" s="727"/>
      <c r="B72" s="728"/>
      <c r="C72" s="728"/>
      <c r="D72" s="728"/>
      <c r="E72" s="728"/>
      <c r="F72" s="728"/>
      <c r="G72" s="728"/>
      <c r="H72" s="728"/>
      <c r="I72" s="728"/>
      <c r="J72" s="729"/>
    </row>
    <row r="73" spans="1:10" ht="12.75" customHeight="1" thickBot="1" x14ac:dyDescent="0.25">
      <c r="A73" s="87"/>
      <c r="B73" s="74"/>
      <c r="C73" s="72"/>
      <c r="D73" s="123"/>
      <c r="E73" s="123"/>
      <c r="F73" s="123"/>
      <c r="G73" s="123"/>
      <c r="H73" s="123"/>
      <c r="I73" s="123"/>
      <c r="J73" s="124"/>
    </row>
    <row r="74" spans="1:10" ht="13.5" customHeight="1" thickBot="1" x14ac:dyDescent="0.25">
      <c r="A74" s="87"/>
      <c r="B74" s="71" t="s">
        <v>23</v>
      </c>
      <c r="C74" s="72"/>
      <c r="D74" s="733" t="s">
        <v>312</v>
      </c>
      <c r="E74" s="733"/>
      <c r="F74" s="733"/>
      <c r="G74" s="733"/>
      <c r="H74" s="733"/>
      <c r="I74" s="733"/>
      <c r="J74" s="734"/>
    </row>
    <row r="75" spans="1:10" ht="13.5" customHeight="1" x14ac:dyDescent="0.2">
      <c r="A75" s="87"/>
      <c r="B75" s="74"/>
      <c r="C75" s="72"/>
      <c r="D75" s="733"/>
      <c r="E75" s="733"/>
      <c r="F75" s="733"/>
      <c r="G75" s="733"/>
      <c r="H75" s="733"/>
      <c r="I75" s="733"/>
      <c r="J75" s="734"/>
    </row>
    <row r="76" spans="1:10" ht="13.5" customHeight="1" x14ac:dyDescent="0.2">
      <c r="A76" s="87"/>
      <c r="B76" s="74"/>
      <c r="C76" s="72"/>
      <c r="D76" s="733"/>
      <c r="E76" s="733"/>
      <c r="F76" s="733"/>
      <c r="G76" s="733"/>
      <c r="H76" s="733"/>
      <c r="I76" s="733"/>
      <c r="J76" s="734"/>
    </row>
    <row r="77" spans="1:10" ht="13.5" customHeight="1" x14ac:dyDescent="0.2">
      <c r="A77" s="87"/>
      <c r="B77" s="74"/>
      <c r="C77" s="72"/>
      <c r="D77" s="733"/>
      <c r="E77" s="733"/>
      <c r="F77" s="733"/>
      <c r="G77" s="733"/>
      <c r="H77" s="733"/>
      <c r="I77" s="733"/>
      <c r="J77" s="734"/>
    </row>
    <row r="78" spans="1:10" ht="13.5" customHeight="1" x14ac:dyDescent="0.2">
      <c r="A78" s="87"/>
      <c r="B78" s="74"/>
      <c r="C78" s="72"/>
      <c r="D78" s="733"/>
      <c r="E78" s="733"/>
      <c r="F78" s="733"/>
      <c r="G78" s="733"/>
      <c r="H78" s="733"/>
      <c r="I78" s="733"/>
      <c r="J78" s="734"/>
    </row>
    <row r="79" spans="1:10" ht="13.5" customHeight="1" x14ac:dyDescent="0.2">
      <c r="A79" s="87"/>
      <c r="B79" s="74"/>
      <c r="C79" s="72"/>
      <c r="D79" s="733"/>
      <c r="E79" s="733"/>
      <c r="F79" s="733"/>
      <c r="G79" s="733"/>
      <c r="H79" s="733"/>
      <c r="I79" s="733"/>
      <c r="J79" s="734"/>
    </row>
    <row r="80" spans="1:10" ht="13.5" customHeight="1" x14ac:dyDescent="0.2">
      <c r="A80" s="87"/>
      <c r="B80" s="74"/>
      <c r="C80" s="72"/>
      <c r="D80" s="733"/>
      <c r="E80" s="733"/>
      <c r="F80" s="733"/>
      <c r="G80" s="733"/>
      <c r="H80" s="733"/>
      <c r="I80" s="733"/>
      <c r="J80" s="734"/>
    </row>
    <row r="81" spans="1:11" ht="13.5" customHeight="1" x14ac:dyDescent="0.2">
      <c r="A81" s="87"/>
      <c r="B81" s="74"/>
      <c r="C81" s="72"/>
      <c r="D81" s="733"/>
      <c r="E81" s="733"/>
      <c r="F81" s="733"/>
      <c r="G81" s="733"/>
      <c r="H81" s="733"/>
      <c r="I81" s="733"/>
      <c r="J81" s="734"/>
    </row>
    <row r="82" spans="1:11" ht="13.5" customHeight="1" x14ac:dyDescent="0.2">
      <c r="A82" s="87"/>
      <c r="B82" s="74"/>
      <c r="C82" s="72"/>
      <c r="D82" s="733"/>
      <c r="E82" s="733"/>
      <c r="F82" s="733"/>
      <c r="G82" s="733"/>
      <c r="H82" s="733"/>
      <c r="I82" s="733"/>
      <c r="J82" s="734"/>
    </row>
    <row r="83" spans="1:11" ht="13.5" customHeight="1" x14ac:dyDescent="0.2">
      <c r="A83" s="87"/>
      <c r="B83" s="74"/>
      <c r="C83" s="72"/>
      <c r="D83" s="733"/>
      <c r="E83" s="733"/>
      <c r="F83" s="733"/>
      <c r="G83" s="733"/>
      <c r="H83" s="733"/>
      <c r="I83" s="733"/>
      <c r="J83" s="734"/>
    </row>
    <row r="84" spans="1:11" ht="13.5" customHeight="1" thickBot="1" x14ac:dyDescent="0.25">
      <c r="A84" s="87"/>
      <c r="B84" s="74"/>
      <c r="C84" s="72"/>
      <c r="D84" s="733"/>
      <c r="E84" s="733"/>
      <c r="F84" s="733"/>
      <c r="G84" s="733"/>
      <c r="H84" s="733"/>
      <c r="I84" s="733"/>
      <c r="J84" s="734"/>
    </row>
    <row r="85" spans="1:11" ht="12.75" customHeight="1" thickBot="1" x14ac:dyDescent="0.25">
      <c r="A85" s="87"/>
      <c r="B85" s="71" t="s">
        <v>23</v>
      </c>
      <c r="C85" s="72"/>
      <c r="D85" s="698" t="s">
        <v>313</v>
      </c>
      <c r="E85" s="698"/>
      <c r="F85" s="698"/>
      <c r="G85" s="698"/>
      <c r="H85" s="698"/>
      <c r="I85" s="698"/>
      <c r="J85" s="714"/>
    </row>
    <row r="86" spans="1:11" ht="12.75" customHeight="1" x14ac:dyDescent="0.2">
      <c r="A86" s="87"/>
      <c r="B86" s="74"/>
      <c r="C86" s="72"/>
      <c r="D86" s="123"/>
      <c r="E86" s="123"/>
      <c r="F86" s="123"/>
      <c r="G86" s="123"/>
      <c r="H86" s="123"/>
      <c r="I86" s="123"/>
      <c r="J86" s="124"/>
    </row>
    <row r="87" spans="1:11" ht="12.75" customHeight="1" x14ac:dyDescent="0.2">
      <c r="A87" s="87"/>
      <c r="B87" s="74"/>
      <c r="C87" s="72"/>
      <c r="D87" s="123"/>
      <c r="E87" s="123"/>
      <c r="F87" s="123"/>
      <c r="G87" s="123"/>
      <c r="H87" s="123"/>
      <c r="I87" s="123"/>
      <c r="J87" s="124"/>
    </row>
    <row r="88" spans="1:11" ht="12.75" customHeight="1" x14ac:dyDescent="0.2">
      <c r="A88" s="87"/>
      <c r="B88" s="735" t="s">
        <v>316</v>
      </c>
      <c r="C88" s="735"/>
      <c r="D88" s="735"/>
      <c r="E88" s="735"/>
      <c r="F88" s="735"/>
      <c r="G88" s="735"/>
      <c r="H88" s="735"/>
      <c r="I88" s="735"/>
      <c r="J88" s="736"/>
      <c r="K88" s="95"/>
    </row>
    <row r="89" spans="1:11" ht="12.75" customHeight="1" x14ac:dyDescent="0.2">
      <c r="A89" s="87"/>
      <c r="B89" s="735"/>
      <c r="C89" s="735"/>
      <c r="D89" s="735"/>
      <c r="E89" s="735"/>
      <c r="F89" s="735"/>
      <c r="G89" s="735"/>
      <c r="H89" s="735"/>
      <c r="I89" s="735"/>
      <c r="J89" s="736"/>
      <c r="K89" s="95"/>
    </row>
    <row r="90" spans="1:11" ht="12.75" customHeight="1" thickBot="1" x14ac:dyDescent="0.25">
      <c r="A90" s="87"/>
      <c r="B90" s="73"/>
      <c r="C90" s="72"/>
      <c r="D90" s="72"/>
      <c r="E90" s="72"/>
      <c r="F90" s="72"/>
      <c r="G90" s="72"/>
      <c r="H90" s="72"/>
      <c r="I90" s="72"/>
      <c r="J90" s="84"/>
      <c r="K90" s="95"/>
    </row>
    <row r="91" spans="1:11" ht="12.75" customHeight="1" thickBot="1" x14ac:dyDescent="0.25">
      <c r="A91" s="87"/>
      <c r="B91" s="76"/>
      <c r="C91" s="72"/>
      <c r="D91" s="698" t="s">
        <v>586</v>
      </c>
      <c r="E91" s="698"/>
      <c r="F91" s="698"/>
      <c r="G91" s="698"/>
      <c r="H91" s="698"/>
      <c r="I91" s="698"/>
      <c r="J91" s="124"/>
    </row>
    <row r="92" spans="1:11" ht="13.5" thickBot="1" x14ac:dyDescent="0.25">
      <c r="A92" s="87"/>
      <c r="B92" s="74"/>
      <c r="C92" s="72"/>
      <c r="D92" s="716"/>
      <c r="E92" s="717"/>
      <c r="F92" s="717"/>
      <c r="G92" s="717"/>
      <c r="H92" s="717"/>
      <c r="I92" s="718"/>
      <c r="J92" s="124"/>
    </row>
    <row r="93" spans="1:11" ht="12.75" customHeight="1" thickBot="1" x14ac:dyDescent="0.25">
      <c r="A93" s="87"/>
      <c r="B93" s="73"/>
      <c r="C93" s="72"/>
      <c r="D93" s="77"/>
      <c r="E93" s="72"/>
      <c r="F93" s="72"/>
      <c r="G93" s="72"/>
      <c r="H93" s="72"/>
      <c r="I93" s="72"/>
      <c r="J93" s="84"/>
    </row>
    <row r="94" spans="1:11" ht="12.75" customHeight="1" thickBot="1" x14ac:dyDescent="0.25">
      <c r="A94" s="87"/>
      <c r="B94" s="71" t="s">
        <v>23</v>
      </c>
      <c r="C94" s="72"/>
      <c r="D94" s="698" t="s">
        <v>317</v>
      </c>
      <c r="E94" s="698"/>
      <c r="F94" s="698"/>
      <c r="G94" s="698"/>
      <c r="H94" s="698"/>
      <c r="I94" s="123"/>
      <c r="J94" s="124"/>
    </row>
    <row r="95" spans="1:11" ht="13.5" thickBot="1" x14ac:dyDescent="0.25">
      <c r="A95" s="87"/>
      <c r="B95" s="74"/>
      <c r="C95" s="72"/>
      <c r="D95" s="716" t="s">
        <v>733</v>
      </c>
      <c r="E95" s="717"/>
      <c r="F95" s="717"/>
      <c r="G95" s="717"/>
      <c r="H95" s="717"/>
      <c r="I95" s="718"/>
      <c r="J95" s="124"/>
    </row>
    <row r="96" spans="1:11" ht="12.75" customHeight="1" thickBot="1" x14ac:dyDescent="0.25">
      <c r="A96" s="87"/>
      <c r="B96" s="74"/>
      <c r="C96" s="72"/>
      <c r="D96" s="123"/>
      <c r="E96" s="123"/>
      <c r="F96" s="123"/>
      <c r="G96" s="123"/>
      <c r="H96" s="123"/>
      <c r="I96" s="123"/>
      <c r="J96" s="124"/>
    </row>
    <row r="97" spans="1:10" ht="12.75" customHeight="1" thickBot="1" x14ac:dyDescent="0.25">
      <c r="A97" s="87"/>
      <c r="B97" s="76" t="s">
        <v>23</v>
      </c>
      <c r="C97" s="72"/>
      <c r="D97" s="697" t="s">
        <v>318</v>
      </c>
      <c r="E97" s="697"/>
      <c r="F97" s="697"/>
      <c r="G97" s="697"/>
      <c r="H97" s="697"/>
      <c r="I97" s="75"/>
      <c r="J97" s="89"/>
    </row>
    <row r="98" spans="1:10" ht="13.5" thickBot="1" x14ac:dyDescent="0.25">
      <c r="A98" s="87"/>
      <c r="B98" s="74"/>
      <c r="C98" s="72"/>
      <c r="D98" s="716" t="s">
        <v>734</v>
      </c>
      <c r="E98" s="717"/>
      <c r="F98" s="717"/>
      <c r="G98" s="717"/>
      <c r="H98" s="717"/>
      <c r="I98" s="718"/>
      <c r="J98" s="124"/>
    </row>
    <row r="99" spans="1:10" ht="12.75" customHeight="1" thickBot="1" x14ac:dyDescent="0.25">
      <c r="A99" s="87"/>
      <c r="B99" s="74"/>
      <c r="C99" s="72"/>
      <c r="D99" s="123"/>
      <c r="E99" s="123"/>
      <c r="F99" s="123"/>
      <c r="G99" s="123"/>
      <c r="H99" s="123"/>
      <c r="I99" s="123"/>
      <c r="J99" s="124"/>
    </row>
    <row r="100" spans="1:10" ht="12.75" customHeight="1" thickBot="1" x14ac:dyDescent="0.25">
      <c r="A100" s="87"/>
      <c r="B100" s="76" t="s">
        <v>23</v>
      </c>
      <c r="C100" s="72"/>
      <c r="D100" s="698" t="s">
        <v>319</v>
      </c>
      <c r="E100" s="698"/>
      <c r="F100" s="698"/>
      <c r="G100" s="698"/>
      <c r="H100" s="698"/>
      <c r="I100" s="698"/>
      <c r="J100" s="124"/>
    </row>
    <row r="101" spans="1:10" ht="13.5" thickBot="1" x14ac:dyDescent="0.25">
      <c r="A101" s="87"/>
      <c r="B101" s="74"/>
      <c r="C101" s="72"/>
      <c r="D101" s="716"/>
      <c r="E101" s="717"/>
      <c r="F101" s="717"/>
      <c r="G101" s="717"/>
      <c r="H101" s="717"/>
      <c r="I101" s="718"/>
      <c r="J101" s="124"/>
    </row>
    <row r="102" spans="1:10" ht="13.5" thickBot="1" x14ac:dyDescent="0.25">
      <c r="A102" s="87"/>
      <c r="B102" s="73"/>
      <c r="C102" s="72"/>
      <c r="D102" s="77"/>
      <c r="E102" s="72"/>
      <c r="F102" s="72"/>
      <c r="G102" s="72"/>
      <c r="H102" s="72"/>
      <c r="I102" s="72"/>
      <c r="J102" s="84"/>
    </row>
    <row r="103" spans="1:10" ht="12.75" customHeight="1" thickBot="1" x14ac:dyDescent="0.25">
      <c r="A103" s="87"/>
      <c r="B103" s="71" t="s">
        <v>23</v>
      </c>
      <c r="C103" s="72"/>
      <c r="D103" s="698" t="s">
        <v>320</v>
      </c>
      <c r="E103" s="698"/>
      <c r="F103" s="698"/>
      <c r="G103" s="698"/>
      <c r="H103" s="698"/>
      <c r="I103" s="123"/>
      <c r="J103" s="124"/>
    </row>
    <row r="104" spans="1:10" ht="13.5" thickBot="1" x14ac:dyDescent="0.25">
      <c r="A104" s="87"/>
      <c r="B104" s="74"/>
      <c r="C104" s="72"/>
      <c r="D104" s="716"/>
      <c r="E104" s="717"/>
      <c r="F104" s="717"/>
      <c r="G104" s="717"/>
      <c r="H104" s="717"/>
      <c r="I104" s="718"/>
      <c r="J104" s="124"/>
    </row>
    <row r="105" spans="1:10" ht="13.5" thickBot="1" x14ac:dyDescent="0.25">
      <c r="A105" s="87"/>
      <c r="B105" s="74"/>
      <c r="C105" s="72"/>
      <c r="D105" s="123"/>
      <c r="E105" s="123"/>
      <c r="F105" s="123"/>
      <c r="G105" s="123"/>
      <c r="H105" s="123"/>
      <c r="I105" s="123"/>
      <c r="J105" s="124"/>
    </row>
    <row r="106" spans="1:10" ht="12.75" customHeight="1" thickBot="1" x14ac:dyDescent="0.25">
      <c r="A106" s="87"/>
      <c r="B106" s="76" t="s">
        <v>23</v>
      </c>
      <c r="C106" s="72"/>
      <c r="D106" s="698" t="s">
        <v>321</v>
      </c>
      <c r="E106" s="698"/>
      <c r="F106" s="698"/>
      <c r="G106" s="698"/>
      <c r="H106" s="698"/>
      <c r="I106" s="698"/>
      <c r="J106" s="124"/>
    </row>
    <row r="107" spans="1:10" ht="13.5" thickBot="1" x14ac:dyDescent="0.25">
      <c r="A107" s="87"/>
      <c r="B107" s="74"/>
      <c r="C107" s="72"/>
      <c r="D107" s="716" t="s">
        <v>845</v>
      </c>
      <c r="E107" s="717"/>
      <c r="F107" s="717"/>
      <c r="G107" s="717"/>
      <c r="H107" s="717"/>
      <c r="I107" s="718"/>
      <c r="J107" s="124"/>
    </row>
    <row r="108" spans="1:10" x14ac:dyDescent="0.2">
      <c r="A108" s="87"/>
      <c r="B108" s="73"/>
      <c r="C108" s="72"/>
      <c r="D108" s="77"/>
      <c r="E108" s="72"/>
      <c r="F108" s="72"/>
      <c r="G108" s="72"/>
      <c r="H108" s="72"/>
      <c r="I108" s="72"/>
      <c r="J108" s="84"/>
    </row>
    <row r="109" spans="1:10" x14ac:dyDescent="0.2">
      <c r="A109" s="87"/>
      <c r="B109" s="74"/>
      <c r="C109" s="72"/>
      <c r="D109" s="123"/>
      <c r="E109" s="123"/>
      <c r="F109" s="123"/>
      <c r="G109" s="123"/>
      <c r="H109" s="123"/>
      <c r="I109" s="123"/>
      <c r="J109" s="124"/>
    </row>
    <row r="110" spans="1:10" ht="12.75" customHeight="1" x14ac:dyDescent="0.2">
      <c r="A110" s="721" t="s">
        <v>315</v>
      </c>
      <c r="B110" s="722"/>
      <c r="C110" s="722"/>
      <c r="D110" s="722"/>
      <c r="E110" s="722"/>
      <c r="F110" s="722"/>
      <c r="G110" s="722"/>
      <c r="H110" s="722"/>
      <c r="I110" s="722"/>
      <c r="J110" s="723"/>
    </row>
    <row r="111" spans="1:10" ht="12.75" customHeight="1" x14ac:dyDescent="0.2">
      <c r="A111" s="724"/>
      <c r="B111" s="725"/>
      <c r="C111" s="725"/>
      <c r="D111" s="725"/>
      <c r="E111" s="725"/>
      <c r="F111" s="725"/>
      <c r="G111" s="725"/>
      <c r="H111" s="725"/>
      <c r="I111" s="725"/>
      <c r="J111" s="726"/>
    </row>
    <row r="112" spans="1:10" ht="12.75" customHeight="1" x14ac:dyDescent="0.2">
      <c r="A112" s="724"/>
      <c r="B112" s="725"/>
      <c r="C112" s="725"/>
      <c r="D112" s="725"/>
      <c r="E112" s="725"/>
      <c r="F112" s="725"/>
      <c r="G112" s="725"/>
      <c r="H112" s="725"/>
      <c r="I112" s="725"/>
      <c r="J112" s="726"/>
    </row>
    <row r="113" spans="1:10" ht="15" customHeight="1" x14ac:dyDescent="0.2">
      <c r="A113" s="727"/>
      <c r="B113" s="728"/>
      <c r="C113" s="728"/>
      <c r="D113" s="728"/>
      <c r="E113" s="728"/>
      <c r="F113" s="728"/>
      <c r="G113" s="728"/>
      <c r="H113" s="728"/>
      <c r="I113" s="728"/>
      <c r="J113" s="729"/>
    </row>
    <row r="114" spans="1:10" x14ac:dyDescent="0.2">
      <c r="A114" s="201" t="s">
        <v>626</v>
      </c>
      <c r="B114" s="201"/>
      <c r="C114" s="201" t="s">
        <v>701</v>
      </c>
      <c r="D114" s="201"/>
      <c r="E114" s="201" t="s">
        <v>721</v>
      </c>
      <c r="F114" s="201"/>
      <c r="G114" s="737" t="s">
        <v>735</v>
      </c>
      <c r="H114" s="738"/>
      <c r="I114" s="205" t="s">
        <v>738</v>
      </c>
      <c r="J114" s="205"/>
    </row>
    <row r="115" spans="1:10" x14ac:dyDescent="0.2">
      <c r="A115" s="201" t="s">
        <v>627</v>
      </c>
      <c r="B115" s="201"/>
      <c r="C115" s="201" t="s">
        <v>676</v>
      </c>
      <c r="D115" s="201"/>
      <c r="E115" s="201" t="s">
        <v>657</v>
      </c>
      <c r="F115" s="201"/>
      <c r="G115" s="737" t="s">
        <v>671</v>
      </c>
      <c r="H115" s="738"/>
      <c r="I115" s="737" t="s">
        <v>709</v>
      </c>
      <c r="J115" s="738"/>
    </row>
    <row r="116" spans="1:10" x14ac:dyDescent="0.2">
      <c r="A116" s="201" t="s">
        <v>693</v>
      </c>
      <c r="B116" s="201"/>
      <c r="C116" s="201" t="s">
        <v>632</v>
      </c>
      <c r="D116" s="201"/>
      <c r="E116" s="201" t="s">
        <v>658</v>
      </c>
      <c r="F116" s="201"/>
      <c r="G116" s="737" t="s">
        <v>641</v>
      </c>
      <c r="H116" s="738"/>
      <c r="I116" s="202" t="s">
        <v>648</v>
      </c>
      <c r="J116" s="203"/>
    </row>
    <row r="117" spans="1:10" x14ac:dyDescent="0.2">
      <c r="A117" s="201" t="s">
        <v>694</v>
      </c>
      <c r="B117" s="201"/>
      <c r="C117" s="201" t="s">
        <v>669</v>
      </c>
      <c r="D117" s="201"/>
      <c r="E117" s="201" t="s">
        <v>722</v>
      </c>
      <c r="F117" s="201"/>
      <c r="G117" s="737" t="s">
        <v>705</v>
      </c>
      <c r="H117" s="738"/>
      <c r="I117" s="202" t="s">
        <v>674</v>
      </c>
      <c r="J117" s="203"/>
    </row>
    <row r="118" spans="1:10" x14ac:dyDescent="0.2">
      <c r="A118" s="201" t="s">
        <v>649</v>
      </c>
      <c r="B118" s="201"/>
      <c r="C118" s="201" t="s">
        <v>653</v>
      </c>
      <c r="D118" s="201"/>
      <c r="E118" s="201" t="s">
        <v>723</v>
      </c>
      <c r="F118" s="201"/>
      <c r="G118" s="737" t="s">
        <v>642</v>
      </c>
      <c r="H118" s="738"/>
      <c r="I118" s="202" t="s">
        <v>675</v>
      </c>
      <c r="J118" s="206"/>
    </row>
    <row r="119" spans="1:10" x14ac:dyDescent="0.2">
      <c r="A119" s="201" t="s">
        <v>695</v>
      </c>
      <c r="B119" s="201"/>
      <c r="C119" s="201" t="s">
        <v>633</v>
      </c>
      <c r="D119" s="201"/>
      <c r="E119" s="201" t="s">
        <v>724</v>
      </c>
      <c r="F119" s="201"/>
      <c r="G119" s="737" t="s">
        <v>643</v>
      </c>
      <c r="H119" s="738"/>
      <c r="I119" s="202" t="s">
        <v>739</v>
      </c>
      <c r="J119" s="206"/>
    </row>
    <row r="120" spans="1:10" x14ac:dyDescent="0.2">
      <c r="A120" s="201" t="s">
        <v>650</v>
      </c>
      <c r="B120" s="201"/>
      <c r="C120" s="201" t="s">
        <v>634</v>
      </c>
      <c r="D120" s="201"/>
      <c r="E120" s="201" t="s">
        <v>637</v>
      </c>
      <c r="F120" s="201"/>
      <c r="G120" s="737" t="s">
        <v>682</v>
      </c>
      <c r="H120" s="738"/>
      <c r="I120" s="199"/>
      <c r="J120" s="200"/>
    </row>
    <row r="121" spans="1:10" x14ac:dyDescent="0.2">
      <c r="A121" s="201" t="s">
        <v>696</v>
      </c>
      <c r="B121" s="201"/>
      <c r="C121" s="201" t="s">
        <v>677</v>
      </c>
      <c r="D121" s="201"/>
      <c r="E121" s="201" t="s">
        <v>725</v>
      </c>
      <c r="F121" s="201"/>
      <c r="G121" s="737" t="s">
        <v>707</v>
      </c>
      <c r="H121" s="738"/>
      <c r="I121" s="739"/>
      <c r="J121" s="740"/>
    </row>
    <row r="122" spans="1:10" x14ac:dyDescent="0.2">
      <c r="A122" s="201" t="s">
        <v>628</v>
      </c>
      <c r="B122" s="201"/>
      <c r="C122" s="201" t="s">
        <v>678</v>
      </c>
      <c r="D122" s="201"/>
      <c r="E122" s="201" t="s">
        <v>659</v>
      </c>
      <c r="F122" s="201"/>
      <c r="G122" s="737" t="s">
        <v>664</v>
      </c>
      <c r="H122" s="738"/>
      <c r="I122" s="739"/>
      <c r="J122" s="740"/>
    </row>
    <row r="123" spans="1:10" x14ac:dyDescent="0.2">
      <c r="A123" s="201" t="s">
        <v>697</v>
      </c>
      <c r="B123" s="201"/>
      <c r="C123" s="201" t="s">
        <v>654</v>
      </c>
      <c r="D123" s="201"/>
      <c r="E123" s="201" t="s">
        <v>660</v>
      </c>
      <c r="F123" s="201"/>
      <c r="G123" s="737" t="s">
        <v>665</v>
      </c>
      <c r="H123" s="738"/>
      <c r="I123" s="739"/>
      <c r="J123" s="740"/>
    </row>
    <row r="124" spans="1:10" x14ac:dyDescent="0.2">
      <c r="A124" s="201" t="s">
        <v>668</v>
      </c>
      <c r="B124" s="201"/>
      <c r="C124" s="201" t="s">
        <v>702</v>
      </c>
      <c r="D124" s="201"/>
      <c r="E124" s="201" t="s">
        <v>726</v>
      </c>
      <c r="F124" s="201"/>
      <c r="G124" s="737" t="s">
        <v>681</v>
      </c>
      <c r="H124" s="738"/>
      <c r="I124" s="739"/>
      <c r="J124" s="740"/>
    </row>
    <row r="125" spans="1:10" x14ac:dyDescent="0.2">
      <c r="A125" s="201" t="s">
        <v>706</v>
      </c>
      <c r="B125" s="201"/>
      <c r="C125" s="201" t="s">
        <v>655</v>
      </c>
      <c r="D125" s="201"/>
      <c r="E125" s="201" t="s">
        <v>661</v>
      </c>
      <c r="F125" s="201"/>
      <c r="G125" s="737" t="s">
        <v>708</v>
      </c>
      <c r="H125" s="738"/>
      <c r="I125" s="739"/>
      <c r="J125" s="740"/>
    </row>
    <row r="126" spans="1:10" x14ac:dyDescent="0.2">
      <c r="A126" s="201" t="s">
        <v>698</v>
      </c>
      <c r="B126" s="201"/>
      <c r="C126" s="201" t="s">
        <v>679</v>
      </c>
      <c r="D126" s="201"/>
      <c r="E126" s="201" t="s">
        <v>727</v>
      </c>
      <c r="F126" s="201"/>
      <c r="G126" s="737" t="s">
        <v>644</v>
      </c>
      <c r="H126" s="738"/>
      <c r="I126" s="739"/>
      <c r="J126" s="740"/>
    </row>
    <row r="127" spans="1:10" x14ac:dyDescent="0.2">
      <c r="A127" s="201" t="s">
        <v>651</v>
      </c>
      <c r="B127" s="201"/>
      <c r="C127" s="201" t="s">
        <v>680</v>
      </c>
      <c r="D127" s="201"/>
      <c r="E127" s="201" t="s">
        <v>638</v>
      </c>
      <c r="F127" s="201"/>
      <c r="G127" s="737" t="s">
        <v>736</v>
      </c>
      <c r="H127" s="738"/>
      <c r="I127" s="739"/>
      <c r="J127" s="740"/>
    </row>
    <row r="128" spans="1:10" x14ac:dyDescent="0.2">
      <c r="A128" s="201" t="s">
        <v>629</v>
      </c>
      <c r="B128" s="201"/>
      <c r="C128" s="201" t="s">
        <v>718</v>
      </c>
      <c r="D128" s="201"/>
      <c r="E128" s="201" t="s">
        <v>704</v>
      </c>
      <c r="F128" s="201"/>
      <c r="G128" s="737" t="s">
        <v>737</v>
      </c>
      <c r="H128" s="738"/>
      <c r="I128" s="739"/>
      <c r="J128" s="740"/>
    </row>
    <row r="129" spans="1:10" x14ac:dyDescent="0.2">
      <c r="A129" s="201" t="s">
        <v>716</v>
      </c>
      <c r="B129" s="201"/>
      <c r="C129" s="201" t="s">
        <v>635</v>
      </c>
      <c r="D129" s="201"/>
      <c r="E129" s="201" t="s">
        <v>639</v>
      </c>
      <c r="F129" s="201"/>
      <c r="G129" s="737" t="s">
        <v>666</v>
      </c>
      <c r="H129" s="738"/>
      <c r="I129" s="739"/>
      <c r="J129" s="740"/>
    </row>
    <row r="130" spans="1:10" x14ac:dyDescent="0.2">
      <c r="A130" s="201" t="s">
        <v>652</v>
      </c>
      <c r="B130" s="201"/>
      <c r="C130" s="201" t="s">
        <v>703</v>
      </c>
      <c r="D130" s="201"/>
      <c r="E130" s="201" t="s">
        <v>640</v>
      </c>
      <c r="F130" s="201"/>
      <c r="G130" s="205" t="s">
        <v>646</v>
      </c>
      <c r="H130" s="205"/>
      <c r="I130" s="739"/>
      <c r="J130" s="740"/>
    </row>
    <row r="131" spans="1:10" x14ac:dyDescent="0.2">
      <c r="A131" s="201" t="s">
        <v>717</v>
      </c>
      <c r="B131" s="201"/>
      <c r="C131" s="201" t="s">
        <v>656</v>
      </c>
      <c r="D131" s="201"/>
      <c r="E131" s="201" t="s">
        <v>662</v>
      </c>
      <c r="F131" s="201"/>
      <c r="G131" s="737" t="s">
        <v>672</v>
      </c>
      <c r="H131" s="738"/>
      <c r="I131" s="739"/>
      <c r="J131" s="740"/>
    </row>
    <row r="132" spans="1:10" x14ac:dyDescent="0.2">
      <c r="A132" s="201" t="s">
        <v>699</v>
      </c>
      <c r="B132" s="201"/>
      <c r="C132" s="201" t="s">
        <v>719</v>
      </c>
      <c r="D132" s="201"/>
      <c r="E132" s="204" t="s">
        <v>728</v>
      </c>
      <c r="F132" s="201"/>
      <c r="G132" s="202" t="s">
        <v>667</v>
      </c>
      <c r="H132" s="203"/>
      <c r="I132" s="739"/>
      <c r="J132" s="740"/>
    </row>
    <row r="133" spans="1:10" x14ac:dyDescent="0.2">
      <c r="A133" s="201" t="s">
        <v>630</v>
      </c>
      <c r="B133" s="201"/>
      <c r="C133" s="201" t="s">
        <v>636</v>
      </c>
      <c r="D133" s="201"/>
      <c r="E133" s="201" t="s">
        <v>663</v>
      </c>
      <c r="F133" s="201"/>
      <c r="G133" s="202" t="s">
        <v>713</v>
      </c>
      <c r="H133" s="203"/>
      <c r="I133" s="739"/>
      <c r="J133" s="740"/>
    </row>
    <row r="134" spans="1:10" x14ac:dyDescent="0.2">
      <c r="A134" s="201" t="s">
        <v>631</v>
      </c>
      <c r="B134" s="201"/>
      <c r="C134" s="201" t="s">
        <v>670</v>
      </c>
      <c r="D134" s="201"/>
      <c r="E134" s="201" t="s">
        <v>711</v>
      </c>
      <c r="F134" s="201"/>
      <c r="G134" s="205" t="s">
        <v>647</v>
      </c>
      <c r="H134" s="205"/>
      <c r="I134" s="739"/>
      <c r="J134" s="740"/>
    </row>
    <row r="135" spans="1:10" x14ac:dyDescent="0.2">
      <c r="A135" s="201" t="s">
        <v>700</v>
      </c>
      <c r="B135" s="201"/>
      <c r="C135" s="739" t="s">
        <v>720</v>
      </c>
      <c r="D135" s="739"/>
      <c r="E135" s="201" t="s">
        <v>729</v>
      </c>
      <c r="F135" s="201"/>
      <c r="G135" s="739" t="s">
        <v>673</v>
      </c>
      <c r="H135" s="739"/>
      <c r="I135" s="739"/>
      <c r="J135" s="740"/>
    </row>
    <row r="136" spans="1:10" s="61" customFormat="1" x14ac:dyDescent="0.2">
      <c r="A136" s="55"/>
      <c r="B136" s="56"/>
      <c r="C136" s="57"/>
      <c r="D136" s="58"/>
      <c r="E136" s="58"/>
      <c r="F136" s="58"/>
      <c r="G136" s="58"/>
      <c r="H136" s="59"/>
      <c r="I136" s="57"/>
      <c r="J136" s="60"/>
    </row>
    <row r="137" spans="1:10" s="61" customFormat="1" ht="25.5" customHeight="1" x14ac:dyDescent="0.2">
      <c r="A137" s="730" t="s">
        <v>566</v>
      </c>
      <c r="B137" s="731"/>
      <c r="C137" s="731"/>
      <c r="D137" s="731"/>
      <c r="E137" s="731"/>
      <c r="F137" s="731"/>
      <c r="G137" s="731"/>
      <c r="H137" s="731"/>
      <c r="I137" s="731"/>
      <c r="J137" s="732"/>
    </row>
    <row r="138" spans="1:10" ht="12.75" customHeight="1" x14ac:dyDescent="0.2">
      <c r="A138" s="721" t="s">
        <v>350</v>
      </c>
      <c r="B138" s="722"/>
      <c r="C138" s="722"/>
      <c r="D138" s="722"/>
      <c r="E138" s="722"/>
      <c r="F138" s="722"/>
      <c r="G138" s="722"/>
      <c r="H138" s="722"/>
      <c r="I138" s="722"/>
      <c r="J138" s="723"/>
    </row>
    <row r="139" spans="1:10" ht="12.75" customHeight="1" x14ac:dyDescent="0.2">
      <c r="A139" s="724"/>
      <c r="B139" s="725"/>
      <c r="C139" s="725"/>
      <c r="D139" s="725"/>
      <c r="E139" s="725"/>
      <c r="F139" s="725"/>
      <c r="G139" s="725"/>
      <c r="H139" s="725"/>
      <c r="I139" s="725"/>
      <c r="J139" s="726"/>
    </row>
    <row r="140" spans="1:10" ht="12.75" customHeight="1" x14ac:dyDescent="0.2">
      <c r="A140" s="724"/>
      <c r="B140" s="725"/>
      <c r="C140" s="725"/>
      <c r="D140" s="725"/>
      <c r="E140" s="725"/>
      <c r="F140" s="725"/>
      <c r="G140" s="725"/>
      <c r="H140" s="725"/>
      <c r="I140" s="725"/>
      <c r="J140" s="726"/>
    </row>
    <row r="141" spans="1:10" ht="15" customHeight="1" x14ac:dyDescent="0.2">
      <c r="A141" s="727"/>
      <c r="B141" s="728"/>
      <c r="C141" s="728"/>
      <c r="D141" s="728"/>
      <c r="E141" s="728"/>
      <c r="F141" s="728"/>
      <c r="G141" s="728"/>
      <c r="H141" s="728"/>
      <c r="I141" s="728"/>
      <c r="J141" s="729"/>
    </row>
    <row r="142" spans="1:10" ht="12.75" customHeight="1" thickBot="1" x14ac:dyDescent="0.25">
      <c r="A142" s="87"/>
      <c r="B142" s="74"/>
      <c r="C142" s="72"/>
      <c r="D142" s="123"/>
      <c r="E142" s="123"/>
      <c r="F142" s="123"/>
      <c r="G142" s="123"/>
      <c r="H142" s="123"/>
      <c r="I142" s="123"/>
      <c r="J142" s="124"/>
    </row>
    <row r="143" spans="1:10" ht="13.5" customHeight="1" thickBot="1" x14ac:dyDescent="0.25">
      <c r="A143" s="87"/>
      <c r="B143" s="71" t="s">
        <v>23</v>
      </c>
      <c r="C143" s="72"/>
      <c r="D143" s="733" t="s">
        <v>323</v>
      </c>
      <c r="E143" s="733"/>
      <c r="F143" s="733"/>
      <c r="G143" s="733"/>
      <c r="H143" s="733"/>
      <c r="I143" s="733"/>
      <c r="J143" s="734"/>
    </row>
    <row r="144" spans="1:10" ht="13.5" customHeight="1" x14ac:dyDescent="0.2">
      <c r="A144" s="87"/>
      <c r="B144" s="74"/>
      <c r="C144" s="72"/>
      <c r="D144" s="733"/>
      <c r="E144" s="733"/>
      <c r="F144" s="733"/>
      <c r="G144" s="733"/>
      <c r="H144" s="733"/>
      <c r="I144" s="733"/>
      <c r="J144" s="734"/>
    </row>
    <row r="145" spans="1:11" ht="13.5" customHeight="1" x14ac:dyDescent="0.2">
      <c r="A145" s="87"/>
      <c r="B145" s="74"/>
      <c r="C145" s="72"/>
      <c r="D145" s="733"/>
      <c r="E145" s="733"/>
      <c r="F145" s="733"/>
      <c r="G145" s="733"/>
      <c r="H145" s="733"/>
      <c r="I145" s="733"/>
      <c r="J145" s="734"/>
    </row>
    <row r="146" spans="1:11" ht="13.5" customHeight="1" x14ac:dyDescent="0.2">
      <c r="A146" s="87"/>
      <c r="B146" s="74"/>
      <c r="C146" s="72"/>
      <c r="D146" s="733"/>
      <c r="E146" s="733"/>
      <c r="F146" s="733"/>
      <c r="G146" s="733"/>
      <c r="H146" s="733"/>
      <c r="I146" s="733"/>
      <c r="J146" s="734"/>
    </row>
    <row r="147" spans="1:11" ht="12.75" customHeight="1" x14ac:dyDescent="0.2">
      <c r="A147" s="87"/>
      <c r="B147" s="74"/>
      <c r="C147" s="72"/>
      <c r="D147" s="123"/>
      <c r="E147" s="123"/>
      <c r="F147" s="123"/>
      <c r="G147" s="123"/>
      <c r="H147" s="123"/>
      <c r="I147" s="123"/>
      <c r="J147" s="124"/>
    </row>
    <row r="148" spans="1:11" ht="12.75" customHeight="1" x14ac:dyDescent="0.2">
      <c r="A148" s="87"/>
      <c r="B148" s="74"/>
      <c r="C148" s="72"/>
      <c r="D148" s="123"/>
      <c r="E148" s="123"/>
      <c r="F148" s="123"/>
      <c r="G148" s="123"/>
      <c r="H148" s="123"/>
      <c r="I148" s="123"/>
      <c r="J148" s="124"/>
    </row>
    <row r="149" spans="1:11" ht="12.75" customHeight="1" x14ac:dyDescent="0.2">
      <c r="A149" s="87"/>
      <c r="B149" s="735" t="s">
        <v>325</v>
      </c>
      <c r="C149" s="735"/>
      <c r="D149" s="735"/>
      <c r="E149" s="735"/>
      <c r="F149" s="735"/>
      <c r="G149" s="735"/>
      <c r="H149" s="735"/>
      <c r="I149" s="735"/>
      <c r="J149" s="736"/>
      <c r="K149" s="95"/>
    </row>
    <row r="150" spans="1:11" ht="12.75" customHeight="1" x14ac:dyDescent="0.2">
      <c r="A150" s="87"/>
      <c r="B150" s="735"/>
      <c r="C150" s="735"/>
      <c r="D150" s="735"/>
      <c r="E150" s="735"/>
      <c r="F150" s="735"/>
      <c r="G150" s="735"/>
      <c r="H150" s="735"/>
      <c r="I150" s="735"/>
      <c r="J150" s="736"/>
      <c r="K150" s="111"/>
    </row>
    <row r="151" spans="1:11" ht="12.75" customHeight="1" x14ac:dyDescent="0.2">
      <c r="A151" s="87"/>
      <c r="B151" s="735"/>
      <c r="C151" s="735"/>
      <c r="D151" s="735"/>
      <c r="E151" s="735"/>
      <c r="F151" s="735"/>
      <c r="G151" s="735"/>
      <c r="H151" s="735"/>
      <c r="I151" s="735"/>
      <c r="J151" s="736"/>
      <c r="K151" s="111"/>
    </row>
    <row r="152" spans="1:11" ht="12.75" customHeight="1" thickBot="1" x14ac:dyDescent="0.25">
      <c r="A152" s="87"/>
      <c r="B152" s="125"/>
      <c r="C152" s="125"/>
      <c r="D152" s="125"/>
      <c r="E152" s="125"/>
      <c r="F152" s="125"/>
      <c r="G152" s="125"/>
      <c r="H152" s="125"/>
      <c r="I152" s="125"/>
      <c r="J152" s="84"/>
      <c r="K152" s="111"/>
    </row>
    <row r="153" spans="1:11" ht="12.75" customHeight="1" thickBot="1" x14ac:dyDescent="0.25">
      <c r="A153" s="87"/>
      <c r="B153" s="76" t="s">
        <v>23</v>
      </c>
      <c r="C153" s="72"/>
      <c r="D153" s="698" t="s">
        <v>326</v>
      </c>
      <c r="E153" s="698"/>
      <c r="F153" s="698"/>
      <c r="G153" s="698"/>
      <c r="H153" s="698"/>
      <c r="I153" s="698"/>
      <c r="J153" s="124"/>
    </row>
    <row r="154" spans="1:11" ht="12.75" customHeight="1" thickBot="1" x14ac:dyDescent="0.25">
      <c r="A154" s="87"/>
      <c r="B154" s="73"/>
      <c r="C154" s="72"/>
      <c r="D154" s="77"/>
      <c r="E154" s="72"/>
      <c r="F154" s="72"/>
      <c r="G154" s="72"/>
      <c r="H154" s="72"/>
      <c r="I154" s="72"/>
      <c r="J154" s="84"/>
    </row>
    <row r="155" spans="1:11" ht="12.75" customHeight="1" thickBot="1" x14ac:dyDescent="0.25">
      <c r="A155" s="87"/>
      <c r="B155" s="71"/>
      <c r="C155" s="72"/>
      <c r="D155" s="698" t="s">
        <v>327</v>
      </c>
      <c r="E155" s="698"/>
      <c r="F155" s="698"/>
      <c r="G155" s="698"/>
      <c r="H155" s="698"/>
      <c r="I155" s="123"/>
      <c r="J155" s="124"/>
    </row>
    <row r="156" spans="1:11" ht="12.75" customHeight="1" thickBot="1" x14ac:dyDescent="0.25">
      <c r="A156" s="87"/>
      <c r="B156" s="74"/>
      <c r="C156" s="72"/>
      <c r="D156" s="123"/>
      <c r="E156" s="123"/>
      <c r="F156" s="123"/>
      <c r="G156" s="123"/>
      <c r="H156" s="123"/>
      <c r="I156" s="123"/>
      <c r="J156" s="124"/>
    </row>
    <row r="157" spans="1:11" ht="12.75" customHeight="1" thickBot="1" x14ac:dyDescent="0.25">
      <c r="A157" s="87"/>
      <c r="B157" s="76" t="s">
        <v>23</v>
      </c>
      <c r="C157" s="72"/>
      <c r="D157" s="697" t="s">
        <v>328</v>
      </c>
      <c r="E157" s="697"/>
      <c r="F157" s="697"/>
      <c r="G157" s="697"/>
      <c r="H157" s="697"/>
      <c r="I157" s="75"/>
      <c r="J157" s="89"/>
    </row>
    <row r="158" spans="1:11" ht="12.75" customHeight="1" thickBot="1" x14ac:dyDescent="0.25">
      <c r="A158" s="87"/>
      <c r="B158" s="74"/>
      <c r="C158" s="72"/>
      <c r="D158" s="123"/>
      <c r="E158" s="123"/>
      <c r="F158" s="123"/>
      <c r="G158" s="123"/>
      <c r="H158" s="123"/>
      <c r="I158" s="123"/>
      <c r="J158" s="124"/>
    </row>
    <row r="159" spans="1:11" ht="12.75" customHeight="1" thickBot="1" x14ac:dyDescent="0.25">
      <c r="A159" s="87"/>
      <c r="B159" s="76"/>
      <c r="C159" s="72"/>
      <c r="D159" s="698" t="s">
        <v>329</v>
      </c>
      <c r="E159" s="698"/>
      <c r="F159" s="698"/>
      <c r="G159" s="698"/>
      <c r="H159" s="698"/>
      <c r="I159" s="698"/>
      <c r="J159" s="124"/>
    </row>
    <row r="160" spans="1:11" ht="13.5" thickBot="1" x14ac:dyDescent="0.25">
      <c r="A160" s="87"/>
      <c r="B160" s="73"/>
      <c r="C160" s="72"/>
      <c r="D160" s="77"/>
      <c r="E160" s="72"/>
      <c r="F160" s="72"/>
      <c r="G160" s="72"/>
      <c r="H160" s="72"/>
      <c r="I160" s="72"/>
      <c r="J160" s="84"/>
    </row>
    <row r="161" spans="1:10" ht="12.75" customHeight="1" thickBot="1" x14ac:dyDescent="0.25">
      <c r="A161" s="87"/>
      <c r="B161" s="71" t="s">
        <v>23</v>
      </c>
      <c r="C161" s="72"/>
      <c r="D161" s="698" t="s">
        <v>330</v>
      </c>
      <c r="E161" s="698"/>
      <c r="F161" s="698"/>
      <c r="G161" s="698"/>
      <c r="H161" s="698"/>
      <c r="I161" s="123"/>
      <c r="J161" s="124"/>
    </row>
    <row r="162" spans="1:10" ht="13.5" thickBot="1" x14ac:dyDescent="0.25">
      <c r="A162" s="87"/>
      <c r="B162" s="74"/>
      <c r="C162" s="72"/>
      <c r="D162" s="123"/>
      <c r="E162" s="123"/>
      <c r="F162" s="123"/>
      <c r="G162" s="123"/>
      <c r="H162" s="123"/>
      <c r="I162" s="123"/>
      <c r="J162" s="124"/>
    </row>
    <row r="163" spans="1:10" ht="12.75" customHeight="1" thickBot="1" x14ac:dyDescent="0.25">
      <c r="A163" s="87"/>
      <c r="B163" s="76" t="s">
        <v>23</v>
      </c>
      <c r="C163" s="72"/>
      <c r="D163" s="698" t="s">
        <v>321</v>
      </c>
      <c r="E163" s="698"/>
      <c r="F163" s="698"/>
      <c r="G163" s="698"/>
      <c r="H163" s="698"/>
      <c r="I163" s="698"/>
      <c r="J163" s="124"/>
    </row>
    <row r="164" spans="1:10" ht="13.5" thickBot="1" x14ac:dyDescent="0.25">
      <c r="A164" s="87"/>
      <c r="B164" s="74"/>
      <c r="C164" s="72"/>
      <c r="D164" s="716" t="s">
        <v>846</v>
      </c>
      <c r="E164" s="717"/>
      <c r="F164" s="717"/>
      <c r="G164" s="717"/>
      <c r="H164" s="717"/>
      <c r="I164" s="718"/>
      <c r="J164" s="124"/>
    </row>
    <row r="165" spans="1:10" x14ac:dyDescent="0.2">
      <c r="A165" s="87"/>
      <c r="B165" s="73"/>
      <c r="C165" s="72"/>
      <c r="D165" s="77"/>
      <c r="E165" s="72"/>
      <c r="F165" s="72"/>
      <c r="G165" s="72"/>
      <c r="H165" s="72"/>
      <c r="I165" s="72"/>
      <c r="J165" s="84"/>
    </row>
    <row r="166" spans="1:10" x14ac:dyDescent="0.2">
      <c r="A166" s="87"/>
      <c r="B166" s="74"/>
      <c r="C166" s="72"/>
      <c r="D166" s="123"/>
      <c r="E166" s="123"/>
      <c r="F166" s="123"/>
      <c r="G166" s="123"/>
      <c r="H166" s="123"/>
      <c r="I166" s="123"/>
      <c r="J166" s="124"/>
    </row>
    <row r="167" spans="1:10" ht="12.75" customHeight="1" x14ac:dyDescent="0.2">
      <c r="A167" s="721" t="s">
        <v>314</v>
      </c>
      <c r="B167" s="722"/>
      <c r="C167" s="722"/>
      <c r="D167" s="722"/>
      <c r="E167" s="722"/>
      <c r="F167" s="722"/>
      <c r="G167" s="722"/>
      <c r="H167" s="722"/>
      <c r="I167" s="722"/>
      <c r="J167" s="723"/>
    </row>
    <row r="168" spans="1:10" ht="12.75" customHeight="1" x14ac:dyDescent="0.2">
      <c r="A168" s="724"/>
      <c r="B168" s="725"/>
      <c r="C168" s="725"/>
      <c r="D168" s="725"/>
      <c r="E168" s="725"/>
      <c r="F168" s="725"/>
      <c r="G168" s="725"/>
      <c r="H168" s="725"/>
      <c r="I168" s="725"/>
      <c r="J168" s="726"/>
    </row>
    <row r="169" spans="1:10" ht="12.75" customHeight="1" x14ac:dyDescent="0.2">
      <c r="A169" s="724"/>
      <c r="B169" s="725"/>
      <c r="C169" s="725"/>
      <c r="D169" s="725"/>
      <c r="E169" s="725"/>
      <c r="F169" s="725"/>
      <c r="G169" s="725"/>
      <c r="H169" s="725"/>
      <c r="I169" s="725"/>
      <c r="J169" s="726"/>
    </row>
    <row r="170" spans="1:10" ht="15" customHeight="1" x14ac:dyDescent="0.2">
      <c r="A170" s="727"/>
      <c r="B170" s="728"/>
      <c r="C170" s="728"/>
      <c r="D170" s="728"/>
      <c r="E170" s="728"/>
      <c r="F170" s="728"/>
      <c r="G170" s="728"/>
      <c r="H170" s="728"/>
      <c r="I170" s="728"/>
      <c r="J170" s="729"/>
    </row>
    <row r="171" spans="1:10" x14ac:dyDescent="0.2">
      <c r="A171" s="741" t="s">
        <v>683</v>
      </c>
      <c r="B171" s="739"/>
      <c r="C171" s="739" t="s">
        <v>685</v>
      </c>
      <c r="D171" s="739"/>
      <c r="E171" s="739"/>
      <c r="F171" s="739"/>
      <c r="G171" s="739"/>
      <c r="H171" s="739"/>
      <c r="I171" s="739"/>
      <c r="J171" s="740"/>
    </row>
    <row r="172" spans="1:10" x14ac:dyDescent="0.2">
      <c r="A172" s="741" t="s">
        <v>684</v>
      </c>
      <c r="B172" s="739"/>
      <c r="C172" s="739" t="s">
        <v>686</v>
      </c>
      <c r="D172" s="739"/>
      <c r="E172" s="739"/>
      <c r="F172" s="739"/>
      <c r="G172" s="739"/>
      <c r="H172" s="739"/>
      <c r="I172" s="739"/>
      <c r="J172" s="740"/>
    </row>
    <row r="173" spans="1:10" ht="12.75" customHeight="1" x14ac:dyDescent="0.2">
      <c r="A173" s="721" t="s">
        <v>324</v>
      </c>
      <c r="B173" s="722"/>
      <c r="C173" s="722"/>
      <c r="D173" s="722"/>
      <c r="E173" s="722"/>
      <c r="F173" s="722"/>
      <c r="G173" s="722"/>
      <c r="H173" s="722"/>
      <c r="I173" s="722"/>
      <c r="J173" s="723"/>
    </row>
    <row r="174" spans="1:10" ht="12.75" customHeight="1" x14ac:dyDescent="0.2">
      <c r="A174" s="724"/>
      <c r="B174" s="725"/>
      <c r="C174" s="725"/>
      <c r="D174" s="725"/>
      <c r="E174" s="725"/>
      <c r="F174" s="725"/>
      <c r="G174" s="725"/>
      <c r="H174" s="725"/>
      <c r="I174" s="725"/>
      <c r="J174" s="726"/>
    </row>
    <row r="175" spans="1:10" ht="12.75" customHeight="1" x14ac:dyDescent="0.2">
      <c r="A175" s="724"/>
      <c r="B175" s="725"/>
      <c r="C175" s="725"/>
      <c r="D175" s="725"/>
      <c r="E175" s="725"/>
      <c r="F175" s="725"/>
      <c r="G175" s="725"/>
      <c r="H175" s="725"/>
      <c r="I175" s="725"/>
      <c r="J175" s="726"/>
    </row>
    <row r="176" spans="1:10" ht="15" customHeight="1" x14ac:dyDescent="0.2">
      <c r="A176" s="727"/>
      <c r="B176" s="728"/>
      <c r="C176" s="728"/>
      <c r="D176" s="728"/>
      <c r="E176" s="728"/>
      <c r="F176" s="728"/>
      <c r="G176" s="728"/>
      <c r="H176" s="728"/>
      <c r="I176" s="728"/>
      <c r="J176" s="729"/>
    </row>
    <row r="177" spans="1:10" ht="12.75" customHeight="1" x14ac:dyDescent="0.2">
      <c r="A177" s="742" t="s">
        <v>741</v>
      </c>
      <c r="B177" s="743"/>
      <c r="C177" s="743"/>
      <c r="D177" s="743"/>
      <c r="E177" s="743"/>
      <c r="F177" s="743"/>
      <c r="G177" s="743"/>
      <c r="H177" s="743"/>
      <c r="I177" s="743"/>
      <c r="J177" s="744"/>
    </row>
    <row r="178" spans="1:10" ht="12.75" customHeight="1" x14ac:dyDescent="0.2">
      <c r="A178" s="742"/>
      <c r="B178" s="743"/>
      <c r="C178" s="743"/>
      <c r="D178" s="743"/>
      <c r="E178" s="743"/>
      <c r="F178" s="743"/>
      <c r="G178" s="743"/>
      <c r="H178" s="743"/>
      <c r="I178" s="743"/>
      <c r="J178" s="744"/>
    </row>
    <row r="179" spans="1:10" ht="12.75" customHeight="1" x14ac:dyDescent="0.2">
      <c r="A179" s="742"/>
      <c r="B179" s="743"/>
      <c r="C179" s="743"/>
      <c r="D179" s="743"/>
      <c r="E179" s="743"/>
      <c r="F179" s="743"/>
      <c r="G179" s="743"/>
      <c r="H179" s="743"/>
      <c r="I179" s="743"/>
      <c r="J179" s="744"/>
    </row>
    <row r="180" spans="1:10" ht="12.75" customHeight="1" x14ac:dyDescent="0.2">
      <c r="A180" s="742"/>
      <c r="B180" s="743"/>
      <c r="C180" s="743"/>
      <c r="D180" s="743"/>
      <c r="E180" s="743"/>
      <c r="F180" s="743"/>
      <c r="G180" s="743"/>
      <c r="H180" s="743"/>
      <c r="I180" s="743"/>
      <c r="J180" s="744"/>
    </row>
    <row r="181" spans="1:10" ht="12.75" customHeight="1" x14ac:dyDescent="0.2">
      <c r="A181" s="742"/>
      <c r="B181" s="743"/>
      <c r="C181" s="743"/>
      <c r="D181" s="743"/>
      <c r="E181" s="743"/>
      <c r="F181" s="743"/>
      <c r="G181" s="743"/>
      <c r="H181" s="743"/>
      <c r="I181" s="743"/>
      <c r="J181" s="744"/>
    </row>
    <row r="182" spans="1:10" ht="12.75" customHeight="1" x14ac:dyDescent="0.2">
      <c r="A182" s="742"/>
      <c r="B182" s="743"/>
      <c r="C182" s="743"/>
      <c r="D182" s="743"/>
      <c r="E182" s="743"/>
      <c r="F182" s="743"/>
      <c r="G182" s="743"/>
      <c r="H182" s="743"/>
      <c r="I182" s="743"/>
      <c r="J182" s="744"/>
    </row>
    <row r="183" spans="1:10" ht="12.75" customHeight="1" x14ac:dyDescent="0.2">
      <c r="A183" s="742"/>
      <c r="B183" s="743"/>
      <c r="C183" s="743"/>
      <c r="D183" s="743"/>
      <c r="E183" s="743"/>
      <c r="F183" s="743"/>
      <c r="G183" s="743"/>
      <c r="H183" s="743"/>
      <c r="I183" s="743"/>
      <c r="J183" s="744"/>
    </row>
    <row r="184" spans="1:10" ht="12.75" customHeight="1" x14ac:dyDescent="0.2">
      <c r="A184" s="742"/>
      <c r="B184" s="743"/>
      <c r="C184" s="743"/>
      <c r="D184" s="743"/>
      <c r="E184" s="743"/>
      <c r="F184" s="743"/>
      <c r="G184" s="743"/>
      <c r="H184" s="743"/>
      <c r="I184" s="743"/>
      <c r="J184" s="744"/>
    </row>
    <row r="185" spans="1:10" ht="12.75" customHeight="1" x14ac:dyDescent="0.2">
      <c r="A185" s="742"/>
      <c r="B185" s="743"/>
      <c r="C185" s="743"/>
      <c r="D185" s="743"/>
      <c r="E185" s="743"/>
      <c r="F185" s="743"/>
      <c r="G185" s="743"/>
      <c r="H185" s="743"/>
      <c r="I185" s="743"/>
      <c r="J185" s="744"/>
    </row>
    <row r="186" spans="1:10" ht="12.75" customHeight="1" x14ac:dyDescent="0.2">
      <c r="A186" s="742"/>
      <c r="B186" s="743"/>
      <c r="C186" s="743"/>
      <c r="D186" s="743"/>
      <c r="E186" s="743"/>
      <c r="F186" s="743"/>
      <c r="G186" s="743"/>
      <c r="H186" s="743"/>
      <c r="I186" s="743"/>
      <c r="J186" s="744"/>
    </row>
    <row r="187" spans="1:10" ht="12.75" customHeight="1" x14ac:dyDescent="0.2">
      <c r="A187" s="742"/>
      <c r="B187" s="743"/>
      <c r="C187" s="743"/>
      <c r="D187" s="743"/>
      <c r="E187" s="743"/>
      <c r="F187" s="743"/>
      <c r="G187" s="743"/>
      <c r="H187" s="743"/>
      <c r="I187" s="743"/>
      <c r="J187" s="744"/>
    </row>
    <row r="188" spans="1:10" ht="12.75" customHeight="1" x14ac:dyDescent="0.2">
      <c r="A188" s="742"/>
      <c r="B188" s="743"/>
      <c r="C188" s="743"/>
      <c r="D188" s="743"/>
      <c r="E188" s="743"/>
      <c r="F188" s="743"/>
      <c r="G188" s="743"/>
      <c r="H188" s="743"/>
      <c r="I188" s="743"/>
      <c r="J188" s="744"/>
    </row>
    <row r="189" spans="1:10" ht="12.75" customHeight="1" x14ac:dyDescent="0.2">
      <c r="A189" s="742"/>
      <c r="B189" s="743"/>
      <c r="C189" s="743"/>
      <c r="D189" s="743"/>
      <c r="E189" s="743"/>
      <c r="F189" s="743"/>
      <c r="G189" s="743"/>
      <c r="H189" s="743"/>
      <c r="I189" s="743"/>
      <c r="J189" s="744"/>
    </row>
    <row r="190" spans="1:10" ht="12.75" customHeight="1" x14ac:dyDescent="0.2">
      <c r="A190" s="742"/>
      <c r="B190" s="743"/>
      <c r="C190" s="743"/>
      <c r="D190" s="743"/>
      <c r="E190" s="743"/>
      <c r="F190" s="743"/>
      <c r="G190" s="743"/>
      <c r="H190" s="743"/>
      <c r="I190" s="743"/>
      <c r="J190" s="744"/>
    </row>
    <row r="191" spans="1:10" ht="12.75" customHeight="1" x14ac:dyDescent="0.2">
      <c r="A191" s="742"/>
      <c r="B191" s="743"/>
      <c r="C191" s="743"/>
      <c r="D191" s="743"/>
      <c r="E191" s="743"/>
      <c r="F191" s="743"/>
      <c r="G191" s="743"/>
      <c r="H191" s="743"/>
      <c r="I191" s="743"/>
      <c r="J191" s="744"/>
    </row>
    <row r="192" spans="1:10" ht="12.75" customHeight="1" x14ac:dyDescent="0.2">
      <c r="A192" s="742"/>
      <c r="B192" s="743"/>
      <c r="C192" s="743"/>
      <c r="D192" s="743"/>
      <c r="E192" s="743"/>
      <c r="F192" s="743"/>
      <c r="G192" s="743"/>
      <c r="H192" s="743"/>
      <c r="I192" s="743"/>
      <c r="J192" s="744"/>
    </row>
    <row r="193" spans="1:10" ht="12.75" customHeight="1" x14ac:dyDescent="0.2">
      <c r="A193" s="742"/>
      <c r="B193" s="743"/>
      <c r="C193" s="743"/>
      <c r="D193" s="743"/>
      <c r="E193" s="743"/>
      <c r="F193" s="743"/>
      <c r="G193" s="743"/>
      <c r="H193" s="743"/>
      <c r="I193" s="743"/>
      <c r="J193" s="744"/>
    </row>
    <row r="194" spans="1:10" ht="12.75" customHeight="1" x14ac:dyDescent="0.2">
      <c r="A194" s="724" t="s">
        <v>351</v>
      </c>
      <c r="B194" s="725"/>
      <c r="C194" s="725"/>
      <c r="D194" s="725"/>
      <c r="E194" s="725"/>
      <c r="F194" s="725"/>
      <c r="G194" s="725"/>
      <c r="H194" s="725"/>
      <c r="I194" s="725"/>
      <c r="J194" s="726"/>
    </row>
    <row r="195" spans="1:10" ht="12.75" customHeight="1" x14ac:dyDescent="0.2">
      <c r="A195" s="724"/>
      <c r="B195" s="725"/>
      <c r="C195" s="725"/>
      <c r="D195" s="725"/>
      <c r="E195" s="725"/>
      <c r="F195" s="725"/>
      <c r="G195" s="725"/>
      <c r="H195" s="725"/>
      <c r="I195" s="725"/>
      <c r="J195" s="726"/>
    </row>
    <row r="196" spans="1:10" ht="12.75" customHeight="1" x14ac:dyDescent="0.2">
      <c r="A196" s="724"/>
      <c r="B196" s="725"/>
      <c r="C196" s="725"/>
      <c r="D196" s="725"/>
      <c r="E196" s="725"/>
      <c r="F196" s="725"/>
      <c r="G196" s="725"/>
      <c r="H196" s="725"/>
      <c r="I196" s="725"/>
      <c r="J196" s="726"/>
    </row>
    <row r="197" spans="1:10" ht="15" customHeight="1" x14ac:dyDescent="0.2">
      <c r="A197" s="727"/>
      <c r="B197" s="728"/>
      <c r="C197" s="728"/>
      <c r="D197" s="728"/>
      <c r="E197" s="728"/>
      <c r="F197" s="728"/>
      <c r="G197" s="728"/>
      <c r="H197" s="728"/>
      <c r="I197" s="728"/>
      <c r="J197" s="729"/>
    </row>
    <row r="198" spans="1:10" ht="12.75" customHeight="1" x14ac:dyDescent="0.2">
      <c r="A198" s="742" t="s">
        <v>1096</v>
      </c>
      <c r="B198" s="743"/>
      <c r="C198" s="743"/>
      <c r="D198" s="743"/>
      <c r="E198" s="743"/>
      <c r="F198" s="743"/>
      <c r="G198" s="743"/>
      <c r="H198" s="743"/>
      <c r="I198" s="743"/>
      <c r="J198" s="744"/>
    </row>
    <row r="199" spans="1:10" ht="12.75" customHeight="1" x14ac:dyDescent="0.2">
      <c r="A199" s="742"/>
      <c r="B199" s="743"/>
      <c r="C199" s="743"/>
      <c r="D199" s="743"/>
      <c r="E199" s="743"/>
      <c r="F199" s="743"/>
      <c r="G199" s="743"/>
      <c r="H199" s="743"/>
      <c r="I199" s="743"/>
      <c r="J199" s="744"/>
    </row>
    <row r="200" spans="1:10" ht="12.75" customHeight="1" x14ac:dyDescent="0.2">
      <c r="A200" s="742"/>
      <c r="B200" s="743"/>
      <c r="C200" s="743"/>
      <c r="D200" s="743"/>
      <c r="E200" s="743"/>
      <c r="F200" s="743"/>
      <c r="G200" s="743"/>
      <c r="H200" s="743"/>
      <c r="I200" s="743"/>
      <c r="J200" s="744"/>
    </row>
    <row r="201" spans="1:10" ht="12.75" customHeight="1" x14ac:dyDescent="0.2">
      <c r="A201" s="742"/>
      <c r="B201" s="743"/>
      <c r="C201" s="743"/>
      <c r="D201" s="743"/>
      <c r="E201" s="743"/>
      <c r="F201" s="743"/>
      <c r="G201" s="743"/>
      <c r="H201" s="743"/>
      <c r="I201" s="743"/>
      <c r="J201" s="744"/>
    </row>
    <row r="202" spans="1:10" ht="12.75" customHeight="1" x14ac:dyDescent="0.2">
      <c r="A202" s="742"/>
      <c r="B202" s="743"/>
      <c r="C202" s="743"/>
      <c r="D202" s="743"/>
      <c r="E202" s="743"/>
      <c r="F202" s="743"/>
      <c r="G202" s="743"/>
      <c r="H202" s="743"/>
      <c r="I202" s="743"/>
      <c r="J202" s="744"/>
    </row>
    <row r="203" spans="1:10" ht="12.75" customHeight="1" x14ac:dyDescent="0.2">
      <c r="A203" s="742"/>
      <c r="B203" s="743"/>
      <c r="C203" s="743"/>
      <c r="D203" s="743"/>
      <c r="E203" s="743"/>
      <c r="F203" s="743"/>
      <c r="G203" s="743"/>
      <c r="H203" s="743"/>
      <c r="I203" s="743"/>
      <c r="J203" s="744"/>
    </row>
    <row r="204" spans="1:10" ht="12.75" customHeight="1" x14ac:dyDescent="0.2">
      <c r="A204" s="742"/>
      <c r="B204" s="743"/>
      <c r="C204" s="743"/>
      <c r="D204" s="743"/>
      <c r="E204" s="743"/>
      <c r="F204" s="743"/>
      <c r="G204" s="743"/>
      <c r="H204" s="743"/>
      <c r="I204" s="743"/>
      <c r="J204" s="744"/>
    </row>
    <row r="205" spans="1:10" ht="12.75" customHeight="1" x14ac:dyDescent="0.2">
      <c r="A205" s="742"/>
      <c r="B205" s="743"/>
      <c r="C205" s="743"/>
      <c r="D205" s="743"/>
      <c r="E205" s="743"/>
      <c r="F205" s="743"/>
      <c r="G205" s="743"/>
      <c r="H205" s="743"/>
      <c r="I205" s="743"/>
      <c r="J205" s="744"/>
    </row>
    <row r="206" spans="1:10" ht="12.75" customHeight="1" x14ac:dyDescent="0.2">
      <c r="A206" s="742"/>
      <c r="B206" s="743"/>
      <c r="C206" s="743"/>
      <c r="D206" s="743"/>
      <c r="E206" s="743"/>
      <c r="F206" s="743"/>
      <c r="G206" s="743"/>
      <c r="H206" s="743"/>
      <c r="I206" s="743"/>
      <c r="J206" s="744"/>
    </row>
    <row r="207" spans="1:10" ht="12.75" customHeight="1" x14ac:dyDescent="0.2">
      <c r="A207" s="742"/>
      <c r="B207" s="743"/>
      <c r="C207" s="743"/>
      <c r="D207" s="743"/>
      <c r="E207" s="743"/>
      <c r="F207" s="743"/>
      <c r="G207" s="743"/>
      <c r="H207" s="743"/>
      <c r="I207" s="743"/>
      <c r="J207" s="744"/>
    </row>
    <row r="208" spans="1:10" ht="12.75" customHeight="1" x14ac:dyDescent="0.2">
      <c r="A208" s="742"/>
      <c r="B208" s="743"/>
      <c r="C208" s="743"/>
      <c r="D208" s="743"/>
      <c r="E208" s="743"/>
      <c r="F208" s="743"/>
      <c r="G208" s="743"/>
      <c r="H208" s="743"/>
      <c r="I208" s="743"/>
      <c r="J208" s="744"/>
    </row>
    <row r="209" spans="1:10" ht="12.75" customHeight="1" x14ac:dyDescent="0.2">
      <c r="A209" s="742"/>
      <c r="B209" s="743"/>
      <c r="C209" s="743"/>
      <c r="D209" s="743"/>
      <c r="E209" s="743"/>
      <c r="F209" s="743"/>
      <c r="G209" s="743"/>
      <c r="H209" s="743"/>
      <c r="I209" s="743"/>
      <c r="J209" s="744"/>
    </row>
    <row r="210" spans="1:10" ht="12.75" customHeight="1" x14ac:dyDescent="0.2">
      <c r="A210" s="742"/>
      <c r="B210" s="743"/>
      <c r="C210" s="743"/>
      <c r="D210" s="743"/>
      <c r="E210" s="743"/>
      <c r="F210" s="743"/>
      <c r="G210" s="743"/>
      <c r="H210" s="743"/>
      <c r="I210" s="743"/>
      <c r="J210" s="744"/>
    </row>
    <row r="211" spans="1:10" ht="12.75" customHeight="1" x14ac:dyDescent="0.2">
      <c r="A211" s="742"/>
      <c r="B211" s="743"/>
      <c r="C211" s="743"/>
      <c r="D211" s="743"/>
      <c r="E211" s="743"/>
      <c r="F211" s="743"/>
      <c r="G211" s="743"/>
      <c r="H211" s="743"/>
      <c r="I211" s="743"/>
      <c r="J211" s="744"/>
    </row>
    <row r="212" spans="1:10" ht="12.75" customHeight="1" x14ac:dyDescent="0.2">
      <c r="A212" s="742"/>
      <c r="B212" s="743"/>
      <c r="C212" s="743"/>
      <c r="D212" s="743"/>
      <c r="E212" s="743"/>
      <c r="F212" s="743"/>
      <c r="G212" s="743"/>
      <c r="H212" s="743"/>
      <c r="I212" s="743"/>
      <c r="J212" s="744"/>
    </row>
    <row r="213" spans="1:10" ht="12.75" customHeight="1" x14ac:dyDescent="0.2">
      <c r="A213" s="742"/>
      <c r="B213" s="743"/>
      <c r="C213" s="743"/>
      <c r="D213" s="743"/>
      <c r="E213" s="743"/>
      <c r="F213" s="743"/>
      <c r="G213" s="743"/>
      <c r="H213" s="743"/>
      <c r="I213" s="743"/>
      <c r="J213" s="744"/>
    </row>
    <row r="214" spans="1:10" ht="12.75" customHeight="1" x14ac:dyDescent="0.2">
      <c r="A214" s="742"/>
      <c r="B214" s="743"/>
      <c r="C214" s="743"/>
      <c r="D214" s="743"/>
      <c r="E214" s="743"/>
      <c r="F214" s="743"/>
      <c r="G214" s="743"/>
      <c r="H214" s="743"/>
      <c r="I214" s="743"/>
      <c r="J214" s="744"/>
    </row>
    <row r="215" spans="1:10" s="61" customFormat="1" x14ac:dyDescent="0.2">
      <c r="A215" s="55"/>
      <c r="B215" s="56"/>
      <c r="C215" s="57"/>
      <c r="D215" s="58"/>
      <c r="E215" s="58"/>
      <c r="F215" s="58"/>
      <c r="G215" s="58"/>
      <c r="H215" s="59"/>
      <c r="I215" s="57"/>
      <c r="J215" s="60"/>
    </row>
    <row r="216" spans="1:10" s="61" customFormat="1" ht="25.5" customHeight="1" x14ac:dyDescent="0.2">
      <c r="A216" s="730" t="s">
        <v>302</v>
      </c>
      <c r="B216" s="731"/>
      <c r="C216" s="731"/>
      <c r="D216" s="731"/>
      <c r="E216" s="731"/>
      <c r="F216" s="731"/>
      <c r="G216" s="731"/>
      <c r="H216" s="731"/>
      <c r="I216" s="731"/>
      <c r="J216" s="732"/>
    </row>
    <row r="217" spans="1:10" ht="12.75" customHeight="1" x14ac:dyDescent="0.2">
      <c r="A217" s="87"/>
      <c r="B217" s="73"/>
      <c r="C217" s="72"/>
      <c r="D217" s="72"/>
      <c r="E217" s="72"/>
      <c r="F217" s="72"/>
      <c r="G217" s="72"/>
      <c r="H217" s="72"/>
      <c r="I217" s="72"/>
      <c r="J217" s="84"/>
    </row>
    <row r="218" spans="1:10" ht="12.75" customHeight="1" x14ac:dyDescent="0.2">
      <c r="A218" s="87"/>
      <c r="B218" s="735" t="s">
        <v>303</v>
      </c>
      <c r="C218" s="735"/>
      <c r="D218" s="735"/>
      <c r="E218" s="735"/>
      <c r="F218" s="735"/>
      <c r="G218" s="735"/>
      <c r="H218" s="735"/>
      <c r="I218" s="735"/>
      <c r="J218" s="172"/>
    </row>
    <row r="219" spans="1:10" ht="12.75" customHeight="1" x14ac:dyDescent="0.2">
      <c r="A219" s="87"/>
      <c r="B219" s="735"/>
      <c r="C219" s="735"/>
      <c r="D219" s="735"/>
      <c r="E219" s="735"/>
      <c r="F219" s="735"/>
      <c r="G219" s="735"/>
      <c r="H219" s="735"/>
      <c r="I219" s="735"/>
      <c r="J219" s="172"/>
    </row>
    <row r="220" spans="1:10" ht="12.75" customHeight="1" thickBot="1" x14ac:dyDescent="0.25">
      <c r="A220" s="87"/>
      <c r="B220" s="171"/>
      <c r="C220" s="171"/>
      <c r="D220" s="171"/>
      <c r="E220" s="171"/>
      <c r="F220" s="171"/>
      <c r="G220" s="171"/>
      <c r="H220" s="171"/>
      <c r="I220" s="171"/>
      <c r="J220" s="84"/>
    </row>
    <row r="221" spans="1:10" ht="12.75" customHeight="1" thickBot="1" x14ac:dyDescent="0.25">
      <c r="A221" s="87"/>
      <c r="B221" s="71" t="s">
        <v>23</v>
      </c>
      <c r="C221" s="72"/>
      <c r="D221" s="698" t="s">
        <v>304</v>
      </c>
      <c r="E221" s="698"/>
      <c r="F221" s="698"/>
      <c r="G221" s="698"/>
      <c r="H221" s="698"/>
      <c r="I221" s="123"/>
      <c r="J221" s="124"/>
    </row>
    <row r="222" spans="1:10" ht="13.5" thickBot="1" x14ac:dyDescent="0.25">
      <c r="A222" s="87"/>
      <c r="B222" s="74"/>
      <c r="C222" s="72"/>
      <c r="D222" s="123"/>
      <c r="E222" s="123"/>
      <c r="F222" s="123"/>
      <c r="G222" s="123"/>
      <c r="H222" s="123"/>
      <c r="I222" s="123"/>
      <c r="J222" s="124"/>
    </row>
    <row r="223" spans="1:10" ht="12.75" customHeight="1" thickBot="1" x14ac:dyDescent="0.25">
      <c r="A223" s="87"/>
      <c r="B223" s="76" t="s">
        <v>23</v>
      </c>
      <c r="C223" s="72"/>
      <c r="D223" s="697" t="s">
        <v>305</v>
      </c>
      <c r="E223" s="697"/>
      <c r="F223" s="697"/>
      <c r="G223" s="697"/>
      <c r="H223" s="697"/>
      <c r="I223" s="75"/>
      <c r="J223" s="89"/>
    </row>
    <row r="224" spans="1:10" ht="13.5" thickBot="1" x14ac:dyDescent="0.25">
      <c r="A224" s="87"/>
      <c r="B224" s="74"/>
      <c r="C224" s="72"/>
      <c r="D224" s="123"/>
      <c r="E224" s="123"/>
      <c r="F224" s="123"/>
      <c r="G224" s="123"/>
      <c r="H224" s="123"/>
      <c r="I224" s="123"/>
      <c r="J224" s="124"/>
    </row>
    <row r="225" spans="1:10" ht="12.75" customHeight="1" thickBot="1" x14ac:dyDescent="0.25">
      <c r="A225" s="87"/>
      <c r="B225" s="76" t="s">
        <v>23</v>
      </c>
      <c r="C225" s="72"/>
      <c r="D225" s="698" t="s">
        <v>306</v>
      </c>
      <c r="E225" s="698"/>
      <c r="F225" s="698"/>
      <c r="G225" s="698"/>
      <c r="H225" s="698"/>
      <c r="I225" s="698"/>
      <c r="J225" s="124"/>
    </row>
    <row r="226" spans="1:10" ht="13.5" thickBot="1" x14ac:dyDescent="0.25">
      <c r="A226" s="87"/>
      <c r="B226" s="73"/>
      <c r="C226" s="72"/>
      <c r="D226" s="77"/>
      <c r="E226" s="72"/>
      <c r="F226" s="72"/>
      <c r="G226" s="72"/>
      <c r="H226" s="72"/>
      <c r="I226" s="72"/>
      <c r="J226" s="84"/>
    </row>
    <row r="227" spans="1:10" ht="12.75" customHeight="1" thickBot="1" x14ac:dyDescent="0.25">
      <c r="A227" s="87"/>
      <c r="B227" s="71"/>
      <c r="C227" s="72"/>
      <c r="D227" s="698" t="s">
        <v>359</v>
      </c>
      <c r="E227" s="698"/>
      <c r="F227" s="698"/>
      <c r="G227" s="698"/>
      <c r="H227" s="698"/>
      <c r="I227" s="123"/>
      <c r="J227" s="124"/>
    </row>
    <row r="228" spans="1:10" ht="13.5" thickBot="1" x14ac:dyDescent="0.25">
      <c r="A228" s="87"/>
      <c r="B228" s="74"/>
      <c r="C228" s="72"/>
      <c r="D228" s="123"/>
      <c r="E228" s="123"/>
      <c r="F228" s="123"/>
      <c r="G228" s="123"/>
      <c r="H228" s="123"/>
      <c r="I228" s="123"/>
      <c r="J228" s="124"/>
    </row>
    <row r="229" spans="1:10" ht="12.75" customHeight="1" thickBot="1" x14ac:dyDescent="0.25">
      <c r="A229" s="87"/>
      <c r="B229" s="76" t="s">
        <v>23</v>
      </c>
      <c r="C229" s="72"/>
      <c r="D229" s="697" t="s">
        <v>307</v>
      </c>
      <c r="E229" s="697"/>
      <c r="F229" s="697"/>
      <c r="G229" s="697"/>
      <c r="H229" s="697"/>
      <c r="I229" s="75"/>
      <c r="J229" s="89"/>
    </row>
    <row r="230" spans="1:10" ht="13.5" thickBot="1" x14ac:dyDescent="0.25">
      <c r="A230" s="87"/>
      <c r="B230" s="74"/>
      <c r="C230" s="72"/>
      <c r="D230" s="123"/>
      <c r="E230" s="123"/>
      <c r="F230" s="123"/>
      <c r="G230" s="123"/>
      <c r="H230" s="123"/>
      <c r="I230" s="123"/>
      <c r="J230" s="124"/>
    </row>
    <row r="231" spans="1:10" ht="12.75" customHeight="1" thickBot="1" x14ac:dyDescent="0.25">
      <c r="A231" s="87"/>
      <c r="B231" s="76" t="s">
        <v>23</v>
      </c>
      <c r="C231" s="72"/>
      <c r="D231" s="697" t="s">
        <v>308</v>
      </c>
      <c r="E231" s="697"/>
      <c r="F231" s="697"/>
      <c r="G231" s="697"/>
      <c r="H231" s="697"/>
      <c r="I231" s="697"/>
      <c r="J231" s="124"/>
    </row>
    <row r="232" spans="1:10" ht="13.5" thickBot="1" x14ac:dyDescent="0.25">
      <c r="A232" s="87"/>
      <c r="B232" s="73"/>
      <c r="C232" s="72"/>
      <c r="D232" s="77"/>
      <c r="E232" s="72"/>
      <c r="F232" s="72"/>
      <c r="G232" s="72"/>
      <c r="H232" s="72"/>
      <c r="I232" s="72"/>
      <c r="J232" s="84"/>
    </row>
    <row r="233" spans="1:10" ht="12.75" customHeight="1" thickBot="1" x14ac:dyDescent="0.25">
      <c r="A233" s="87"/>
      <c r="B233" s="71" t="s">
        <v>23</v>
      </c>
      <c r="C233" s="72"/>
      <c r="D233" s="698" t="s">
        <v>311</v>
      </c>
      <c r="E233" s="698"/>
      <c r="F233" s="698"/>
      <c r="G233" s="698"/>
      <c r="H233" s="698"/>
      <c r="I233" s="123"/>
      <c r="J233" s="124"/>
    </row>
    <row r="234" spans="1:10" ht="13.5" thickBot="1" x14ac:dyDescent="0.25">
      <c r="A234" s="87"/>
      <c r="B234" s="74"/>
      <c r="C234" s="72"/>
      <c r="D234" s="123"/>
      <c r="E234" s="123"/>
      <c r="F234" s="123"/>
      <c r="G234" s="123"/>
      <c r="H234" s="123"/>
      <c r="I234" s="123"/>
      <c r="J234" s="124"/>
    </row>
    <row r="235" spans="1:10" ht="12.75" customHeight="1" thickBot="1" x14ac:dyDescent="0.25">
      <c r="A235" s="87"/>
      <c r="B235" s="76" t="s">
        <v>23</v>
      </c>
      <c r="C235" s="72"/>
      <c r="D235" s="697" t="s">
        <v>309</v>
      </c>
      <c r="E235" s="697"/>
      <c r="F235" s="697"/>
      <c r="G235" s="697"/>
      <c r="H235" s="697"/>
      <c r="I235" s="75"/>
      <c r="J235" s="89"/>
    </row>
    <row r="236" spans="1:10" ht="13.5" customHeight="1" thickBot="1" x14ac:dyDescent="0.25">
      <c r="A236" s="87"/>
      <c r="B236" s="74"/>
      <c r="C236" s="72"/>
      <c r="D236" s="111"/>
      <c r="E236" s="123"/>
      <c r="F236" s="123"/>
      <c r="G236" s="123"/>
      <c r="H236" s="123"/>
      <c r="I236" s="123"/>
      <c r="J236" s="124"/>
    </row>
    <row r="237" spans="1:10" ht="12.75" customHeight="1" thickBot="1" x14ac:dyDescent="0.25">
      <c r="A237" s="87"/>
      <c r="B237" s="76" t="s">
        <v>23</v>
      </c>
      <c r="C237" s="72"/>
      <c r="D237" s="697" t="s">
        <v>310</v>
      </c>
      <c r="E237" s="697"/>
      <c r="F237" s="697"/>
      <c r="G237" s="697"/>
      <c r="H237" s="697"/>
      <c r="I237" s="75"/>
      <c r="J237" s="89"/>
    </row>
    <row r="238" spans="1:10" ht="13.5" customHeight="1" thickBot="1" x14ac:dyDescent="0.25">
      <c r="A238" s="87"/>
      <c r="B238" s="74"/>
      <c r="C238" s="72"/>
      <c r="D238" s="111"/>
      <c r="E238" s="123"/>
      <c r="F238" s="123"/>
      <c r="G238" s="123"/>
      <c r="H238" s="123"/>
      <c r="I238" s="123"/>
      <c r="J238" s="124"/>
    </row>
    <row r="239" spans="1:10" ht="12.75" customHeight="1" thickBot="1" x14ac:dyDescent="0.25">
      <c r="A239" s="87"/>
      <c r="B239" s="76"/>
      <c r="C239" s="72"/>
      <c r="D239" s="698" t="s">
        <v>222</v>
      </c>
      <c r="E239" s="698"/>
      <c r="F239" s="698"/>
      <c r="G239" s="698"/>
      <c r="H239" s="698"/>
      <c r="I239" s="698"/>
      <c r="J239" s="124"/>
    </row>
    <row r="240" spans="1:10" ht="13.5" thickBot="1" x14ac:dyDescent="0.25">
      <c r="A240" s="87"/>
      <c r="B240" s="74"/>
      <c r="C240" s="72"/>
      <c r="D240" s="716"/>
      <c r="E240" s="717"/>
      <c r="F240" s="717"/>
      <c r="G240" s="717"/>
      <c r="H240" s="717"/>
      <c r="I240" s="718"/>
      <c r="J240" s="124"/>
    </row>
    <row r="241" spans="1:10" x14ac:dyDescent="0.2">
      <c r="A241" s="87"/>
      <c r="B241" s="73"/>
      <c r="C241" s="72"/>
      <c r="D241" s="77"/>
      <c r="E241" s="72"/>
      <c r="F241" s="72"/>
      <c r="G241" s="72"/>
      <c r="H241" s="72"/>
      <c r="I241" s="72"/>
      <c r="J241" s="84"/>
    </row>
    <row r="242" spans="1:10" ht="12.75" customHeight="1" x14ac:dyDescent="0.2">
      <c r="A242" s="721" t="s">
        <v>352</v>
      </c>
      <c r="B242" s="722"/>
      <c r="C242" s="722"/>
      <c r="D242" s="722"/>
      <c r="E242" s="722"/>
      <c r="F242" s="722"/>
      <c r="G242" s="722"/>
      <c r="H242" s="722"/>
      <c r="I242" s="722"/>
      <c r="J242" s="723"/>
    </row>
    <row r="243" spans="1:10" ht="12.75" customHeight="1" x14ac:dyDescent="0.2">
      <c r="A243" s="742" t="s">
        <v>742</v>
      </c>
      <c r="B243" s="743"/>
      <c r="C243" s="743"/>
      <c r="D243" s="743"/>
      <c r="E243" s="743"/>
      <c r="F243" s="743"/>
      <c r="G243" s="743"/>
      <c r="H243" s="743"/>
      <c r="I243" s="743"/>
      <c r="J243" s="744"/>
    </row>
    <row r="244" spans="1:10" ht="12.75" customHeight="1" x14ac:dyDescent="0.2">
      <c r="A244" s="742"/>
      <c r="B244" s="743"/>
      <c r="C244" s="743"/>
      <c r="D244" s="743"/>
      <c r="E244" s="743"/>
      <c r="F244" s="743"/>
      <c r="G244" s="743"/>
      <c r="H244" s="743"/>
      <c r="I244" s="743"/>
      <c r="J244" s="744"/>
    </row>
    <row r="245" spans="1:10" ht="12.75" customHeight="1" x14ac:dyDescent="0.2">
      <c r="A245" s="742"/>
      <c r="B245" s="743"/>
      <c r="C245" s="743"/>
      <c r="D245" s="743"/>
      <c r="E245" s="743"/>
      <c r="F245" s="743"/>
      <c r="G245" s="743"/>
      <c r="H245" s="743"/>
      <c r="I245" s="743"/>
      <c r="J245" s="744"/>
    </row>
    <row r="246" spans="1:10" ht="12.75" customHeight="1" x14ac:dyDescent="0.2">
      <c r="A246" s="742"/>
      <c r="B246" s="743"/>
      <c r="C246" s="743"/>
      <c r="D246" s="743"/>
      <c r="E246" s="743"/>
      <c r="F246" s="743"/>
      <c r="G246" s="743"/>
      <c r="H246" s="743"/>
      <c r="I246" s="743"/>
      <c r="J246" s="744"/>
    </row>
    <row r="247" spans="1:10" ht="12.75" customHeight="1" x14ac:dyDescent="0.2">
      <c r="A247" s="742"/>
      <c r="B247" s="743"/>
      <c r="C247" s="743"/>
      <c r="D247" s="743"/>
      <c r="E247" s="743"/>
      <c r="F247" s="743"/>
      <c r="G247" s="743"/>
      <c r="H247" s="743"/>
      <c r="I247" s="743"/>
      <c r="J247" s="744"/>
    </row>
    <row r="248" spans="1:10" ht="12.75" customHeight="1" x14ac:dyDescent="0.2">
      <c r="A248" s="742"/>
      <c r="B248" s="743"/>
      <c r="C248" s="743"/>
      <c r="D248" s="743"/>
      <c r="E248" s="743"/>
      <c r="F248" s="743"/>
      <c r="G248" s="743"/>
      <c r="H248" s="743"/>
      <c r="I248" s="743"/>
      <c r="J248" s="744"/>
    </row>
    <row r="249" spans="1:10" ht="12.75" customHeight="1" x14ac:dyDescent="0.2">
      <c r="A249" s="742"/>
      <c r="B249" s="743"/>
      <c r="C249" s="743"/>
      <c r="D249" s="743"/>
      <c r="E249" s="743"/>
      <c r="F249" s="743"/>
      <c r="G249" s="743"/>
      <c r="H249" s="743"/>
      <c r="I249" s="743"/>
      <c r="J249" s="744"/>
    </row>
    <row r="250" spans="1:10" ht="12.75" customHeight="1" x14ac:dyDescent="0.2">
      <c r="A250" s="742"/>
      <c r="B250" s="743"/>
      <c r="C250" s="743"/>
      <c r="D250" s="743"/>
      <c r="E250" s="743"/>
      <c r="F250" s="743"/>
      <c r="G250" s="743"/>
      <c r="H250" s="743"/>
      <c r="I250" s="743"/>
      <c r="J250" s="744"/>
    </row>
    <row r="251" spans="1:10" ht="12.75" customHeight="1" x14ac:dyDescent="0.2">
      <c r="A251" s="721" t="s">
        <v>353</v>
      </c>
      <c r="B251" s="722"/>
      <c r="C251" s="722"/>
      <c r="D251" s="722"/>
      <c r="E251" s="722"/>
      <c r="F251" s="722"/>
      <c r="G251" s="722"/>
      <c r="H251" s="722"/>
      <c r="I251" s="722"/>
      <c r="J251" s="723"/>
    </row>
    <row r="252" spans="1:10" ht="12.75" customHeight="1" x14ac:dyDescent="0.2">
      <c r="A252" s="742" t="s">
        <v>746</v>
      </c>
      <c r="B252" s="743"/>
      <c r="C252" s="743"/>
      <c r="D252" s="743"/>
      <c r="E252" s="743"/>
      <c r="F252" s="743"/>
      <c r="G252" s="743"/>
      <c r="H252" s="743"/>
      <c r="I252" s="743"/>
      <c r="J252" s="744"/>
    </row>
    <row r="253" spans="1:10" ht="12.75" customHeight="1" x14ac:dyDescent="0.2">
      <c r="A253" s="742"/>
      <c r="B253" s="743"/>
      <c r="C253" s="743"/>
      <c r="D253" s="743"/>
      <c r="E253" s="743"/>
      <c r="F253" s="743"/>
      <c r="G253" s="743"/>
      <c r="H253" s="743"/>
      <c r="I253" s="743"/>
      <c r="J253" s="744"/>
    </row>
    <row r="254" spans="1:10" ht="12.75" customHeight="1" x14ac:dyDescent="0.2">
      <c r="A254" s="742"/>
      <c r="B254" s="743"/>
      <c r="C254" s="743"/>
      <c r="D254" s="743"/>
      <c r="E254" s="743"/>
      <c r="F254" s="743"/>
      <c r="G254" s="743"/>
      <c r="H254" s="743"/>
      <c r="I254" s="743"/>
      <c r="J254" s="744"/>
    </row>
    <row r="255" spans="1:10" ht="12.75" customHeight="1" x14ac:dyDescent="0.2">
      <c r="A255" s="742"/>
      <c r="B255" s="743"/>
      <c r="C255" s="743"/>
      <c r="D255" s="743"/>
      <c r="E255" s="743"/>
      <c r="F255" s="743"/>
      <c r="G255" s="743"/>
      <c r="H255" s="743"/>
      <c r="I255" s="743"/>
      <c r="J255" s="744"/>
    </row>
    <row r="256" spans="1:10" ht="12.75" customHeight="1" x14ac:dyDescent="0.2">
      <c r="A256" s="742"/>
      <c r="B256" s="743"/>
      <c r="C256" s="743"/>
      <c r="D256" s="743"/>
      <c r="E256" s="743"/>
      <c r="F256" s="743"/>
      <c r="G256" s="743"/>
      <c r="H256" s="743"/>
      <c r="I256" s="743"/>
      <c r="J256" s="744"/>
    </row>
    <row r="257" spans="1:10" ht="12.75" customHeight="1" x14ac:dyDescent="0.2">
      <c r="A257" s="742"/>
      <c r="B257" s="743"/>
      <c r="C257" s="743"/>
      <c r="D257" s="743"/>
      <c r="E257" s="743"/>
      <c r="F257" s="743"/>
      <c r="G257" s="743"/>
      <c r="H257" s="743"/>
      <c r="I257" s="743"/>
      <c r="J257" s="744"/>
    </row>
    <row r="258" spans="1:10" ht="12.75" customHeight="1" x14ac:dyDescent="0.2">
      <c r="A258" s="742"/>
      <c r="B258" s="743"/>
      <c r="C258" s="743"/>
      <c r="D258" s="743"/>
      <c r="E258" s="743"/>
      <c r="F258" s="743"/>
      <c r="G258" s="743"/>
      <c r="H258" s="743"/>
      <c r="I258" s="743"/>
      <c r="J258" s="744"/>
    </row>
    <row r="259" spans="1:10" ht="12.75" customHeight="1" x14ac:dyDescent="0.2">
      <c r="A259" s="721" t="s">
        <v>354</v>
      </c>
      <c r="B259" s="722"/>
      <c r="C259" s="722"/>
      <c r="D259" s="722"/>
      <c r="E259" s="722"/>
      <c r="F259" s="722"/>
      <c r="G259" s="722"/>
      <c r="H259" s="722"/>
      <c r="I259" s="722"/>
      <c r="J259" s="723"/>
    </row>
    <row r="260" spans="1:10" ht="12.75" customHeight="1" x14ac:dyDescent="0.2">
      <c r="A260" s="742" t="s">
        <v>1046</v>
      </c>
      <c r="B260" s="743"/>
      <c r="C260" s="743"/>
      <c r="D260" s="743"/>
      <c r="E260" s="743"/>
      <c r="F260" s="743"/>
      <c r="G260" s="743"/>
      <c r="H260" s="743"/>
      <c r="I260" s="743"/>
      <c r="J260" s="744"/>
    </row>
    <row r="261" spans="1:10" ht="12.75" customHeight="1" x14ac:dyDescent="0.2">
      <c r="A261" s="742"/>
      <c r="B261" s="743"/>
      <c r="C261" s="743"/>
      <c r="D261" s="743"/>
      <c r="E261" s="743"/>
      <c r="F261" s="743"/>
      <c r="G261" s="743"/>
      <c r="H261" s="743"/>
      <c r="I261" s="743"/>
      <c r="J261" s="744"/>
    </row>
    <row r="262" spans="1:10" ht="12.75" customHeight="1" x14ac:dyDescent="0.2">
      <c r="A262" s="742"/>
      <c r="B262" s="743"/>
      <c r="C262" s="743"/>
      <c r="D262" s="743"/>
      <c r="E262" s="743"/>
      <c r="F262" s="743"/>
      <c r="G262" s="743"/>
      <c r="H262" s="743"/>
      <c r="I262" s="743"/>
      <c r="J262" s="744"/>
    </row>
    <row r="263" spans="1:10" ht="12.75" customHeight="1" x14ac:dyDescent="0.2">
      <c r="A263" s="742"/>
      <c r="B263" s="743"/>
      <c r="C263" s="743"/>
      <c r="D263" s="743"/>
      <c r="E263" s="743"/>
      <c r="F263" s="743"/>
      <c r="G263" s="743"/>
      <c r="H263" s="743"/>
      <c r="I263" s="743"/>
      <c r="J263" s="744"/>
    </row>
    <row r="264" spans="1:10" ht="12.75" customHeight="1" x14ac:dyDescent="0.2">
      <c r="A264" s="742"/>
      <c r="B264" s="743"/>
      <c r="C264" s="743"/>
      <c r="D264" s="743"/>
      <c r="E264" s="743"/>
      <c r="F264" s="743"/>
      <c r="G264" s="743"/>
      <c r="H264" s="743"/>
      <c r="I264" s="743"/>
      <c r="J264" s="744"/>
    </row>
    <row r="265" spans="1:10" ht="12.75" customHeight="1" x14ac:dyDescent="0.2">
      <c r="A265" s="742"/>
      <c r="B265" s="743"/>
      <c r="C265" s="743"/>
      <c r="D265" s="743"/>
      <c r="E265" s="743"/>
      <c r="F265" s="743"/>
      <c r="G265" s="743"/>
      <c r="H265" s="743"/>
      <c r="I265" s="743"/>
      <c r="J265" s="744"/>
    </row>
    <row r="266" spans="1:10" ht="12.75" customHeight="1" x14ac:dyDescent="0.2">
      <c r="A266" s="742"/>
      <c r="B266" s="743"/>
      <c r="C266" s="743"/>
      <c r="D266" s="743"/>
      <c r="E266" s="743"/>
      <c r="F266" s="743"/>
      <c r="G266" s="743"/>
      <c r="H266" s="743"/>
      <c r="I266" s="743"/>
      <c r="J266" s="744"/>
    </row>
    <row r="267" spans="1:10" ht="12.75" customHeight="1" x14ac:dyDescent="0.2">
      <c r="A267" s="742"/>
      <c r="B267" s="743"/>
      <c r="C267" s="743"/>
      <c r="D267" s="743"/>
      <c r="E267" s="743"/>
      <c r="F267" s="743"/>
      <c r="G267" s="743"/>
      <c r="H267" s="743"/>
      <c r="I267" s="743"/>
      <c r="J267" s="744"/>
    </row>
    <row r="268" spans="1:10" ht="12.75" customHeight="1" x14ac:dyDescent="0.2">
      <c r="A268" s="721" t="s">
        <v>355</v>
      </c>
      <c r="B268" s="722"/>
      <c r="C268" s="722"/>
      <c r="D268" s="722"/>
      <c r="E268" s="722"/>
      <c r="F268" s="722"/>
      <c r="G268" s="722"/>
      <c r="H268" s="722"/>
      <c r="I268" s="722"/>
      <c r="J268" s="723"/>
    </row>
    <row r="269" spans="1:10" ht="12.75" customHeight="1" x14ac:dyDescent="0.2">
      <c r="A269" s="742" t="s">
        <v>747</v>
      </c>
      <c r="B269" s="743"/>
      <c r="C269" s="743"/>
      <c r="D269" s="743"/>
      <c r="E269" s="743"/>
      <c r="F269" s="743"/>
      <c r="G269" s="743"/>
      <c r="H269" s="743"/>
      <c r="I269" s="743"/>
      <c r="J269" s="744"/>
    </row>
    <row r="270" spans="1:10" ht="12.75" customHeight="1" x14ac:dyDescent="0.2">
      <c r="A270" s="742"/>
      <c r="B270" s="743"/>
      <c r="C270" s="743"/>
      <c r="D270" s="743"/>
      <c r="E270" s="743"/>
      <c r="F270" s="743"/>
      <c r="G270" s="743"/>
      <c r="H270" s="743"/>
      <c r="I270" s="743"/>
      <c r="J270" s="744"/>
    </row>
    <row r="271" spans="1:10" ht="12.75" customHeight="1" x14ac:dyDescent="0.2">
      <c r="A271" s="742"/>
      <c r="B271" s="743"/>
      <c r="C271" s="743"/>
      <c r="D271" s="743"/>
      <c r="E271" s="743"/>
      <c r="F271" s="743"/>
      <c r="G271" s="743"/>
      <c r="H271" s="743"/>
      <c r="I271" s="743"/>
      <c r="J271" s="744"/>
    </row>
    <row r="272" spans="1:10" ht="12.75" customHeight="1" x14ac:dyDescent="0.2">
      <c r="A272" s="742"/>
      <c r="B272" s="743"/>
      <c r="C272" s="743"/>
      <c r="D272" s="743"/>
      <c r="E272" s="743"/>
      <c r="F272" s="743"/>
      <c r="G272" s="743"/>
      <c r="H272" s="743"/>
      <c r="I272" s="743"/>
      <c r="J272" s="744"/>
    </row>
    <row r="273" spans="1:10" ht="12.75" customHeight="1" x14ac:dyDescent="0.2">
      <c r="A273" s="742"/>
      <c r="B273" s="743"/>
      <c r="C273" s="743"/>
      <c r="D273" s="743"/>
      <c r="E273" s="743"/>
      <c r="F273" s="743"/>
      <c r="G273" s="743"/>
      <c r="H273" s="743"/>
      <c r="I273" s="743"/>
      <c r="J273" s="744"/>
    </row>
    <row r="274" spans="1:10" ht="12.75" customHeight="1" x14ac:dyDescent="0.2">
      <c r="A274" s="742"/>
      <c r="B274" s="743"/>
      <c r="C274" s="743"/>
      <c r="D274" s="743"/>
      <c r="E274" s="743"/>
      <c r="F274" s="743"/>
      <c r="G274" s="743"/>
      <c r="H274" s="743"/>
      <c r="I274" s="743"/>
      <c r="J274" s="744"/>
    </row>
    <row r="275" spans="1:10" ht="12.75" customHeight="1" x14ac:dyDescent="0.2">
      <c r="A275" s="742"/>
      <c r="B275" s="743"/>
      <c r="C275" s="743"/>
      <c r="D275" s="743"/>
      <c r="E275" s="743"/>
      <c r="F275" s="743"/>
      <c r="G275" s="743"/>
      <c r="H275" s="743"/>
      <c r="I275" s="743"/>
      <c r="J275" s="744"/>
    </row>
    <row r="276" spans="1:10" ht="12.75" customHeight="1" x14ac:dyDescent="0.2">
      <c r="A276" s="742"/>
      <c r="B276" s="743"/>
      <c r="C276" s="743"/>
      <c r="D276" s="743"/>
      <c r="E276" s="743"/>
      <c r="F276" s="743"/>
      <c r="G276" s="743"/>
      <c r="H276" s="743"/>
      <c r="I276" s="743"/>
      <c r="J276" s="744"/>
    </row>
    <row r="277" spans="1:10" ht="12.75" customHeight="1" x14ac:dyDescent="0.2">
      <c r="A277" s="721" t="s">
        <v>356</v>
      </c>
      <c r="B277" s="722"/>
      <c r="C277" s="722"/>
      <c r="D277" s="722"/>
      <c r="E277" s="722"/>
      <c r="F277" s="722"/>
      <c r="G277" s="722"/>
      <c r="H277" s="722"/>
      <c r="I277" s="722"/>
      <c r="J277" s="723"/>
    </row>
    <row r="278" spans="1:10" ht="12.75" customHeight="1" x14ac:dyDescent="0.2">
      <c r="A278" s="727"/>
      <c r="B278" s="728"/>
      <c r="C278" s="728"/>
      <c r="D278" s="728"/>
      <c r="E278" s="728"/>
      <c r="F278" s="728"/>
      <c r="G278" s="728"/>
      <c r="H278" s="728"/>
      <c r="I278" s="728"/>
      <c r="J278" s="729"/>
    </row>
    <row r="279" spans="1:10" ht="12.75" customHeight="1" x14ac:dyDescent="0.2">
      <c r="A279" s="742" t="s">
        <v>748</v>
      </c>
      <c r="B279" s="743"/>
      <c r="C279" s="743"/>
      <c r="D279" s="743"/>
      <c r="E279" s="743"/>
      <c r="F279" s="743"/>
      <c r="G279" s="743"/>
      <c r="H279" s="743"/>
      <c r="I279" s="743"/>
      <c r="J279" s="744"/>
    </row>
    <row r="280" spans="1:10" ht="12.75" customHeight="1" x14ac:dyDescent="0.2">
      <c r="A280" s="742"/>
      <c r="B280" s="743"/>
      <c r="C280" s="743"/>
      <c r="D280" s="743"/>
      <c r="E280" s="743"/>
      <c r="F280" s="743"/>
      <c r="G280" s="743"/>
      <c r="H280" s="743"/>
      <c r="I280" s="743"/>
      <c r="J280" s="744"/>
    </row>
    <row r="281" spans="1:10" ht="12.75" customHeight="1" x14ac:dyDescent="0.2">
      <c r="A281" s="742"/>
      <c r="B281" s="743"/>
      <c r="C281" s="743"/>
      <c r="D281" s="743"/>
      <c r="E281" s="743"/>
      <c r="F281" s="743"/>
      <c r="G281" s="743"/>
      <c r="H281" s="743"/>
      <c r="I281" s="743"/>
      <c r="J281" s="744"/>
    </row>
    <row r="282" spans="1:10" ht="12.75" customHeight="1" x14ac:dyDescent="0.2">
      <c r="A282" s="742"/>
      <c r="B282" s="743"/>
      <c r="C282" s="743"/>
      <c r="D282" s="743"/>
      <c r="E282" s="743"/>
      <c r="F282" s="743"/>
      <c r="G282" s="743"/>
      <c r="H282" s="743"/>
      <c r="I282" s="743"/>
      <c r="J282" s="744"/>
    </row>
    <row r="283" spans="1:10" ht="12.75" customHeight="1" x14ac:dyDescent="0.2">
      <c r="A283" s="742"/>
      <c r="B283" s="743"/>
      <c r="C283" s="743"/>
      <c r="D283" s="743"/>
      <c r="E283" s="743"/>
      <c r="F283" s="743"/>
      <c r="G283" s="743"/>
      <c r="H283" s="743"/>
      <c r="I283" s="743"/>
      <c r="J283" s="744"/>
    </row>
    <row r="284" spans="1:10" ht="12.75" customHeight="1" x14ac:dyDescent="0.2">
      <c r="A284" s="742"/>
      <c r="B284" s="743"/>
      <c r="C284" s="743"/>
      <c r="D284" s="743"/>
      <c r="E284" s="743"/>
      <c r="F284" s="743"/>
      <c r="G284" s="743"/>
      <c r="H284" s="743"/>
      <c r="I284" s="743"/>
      <c r="J284" s="744"/>
    </row>
    <row r="285" spans="1:10" ht="12.75" customHeight="1" x14ac:dyDescent="0.2">
      <c r="A285" s="742"/>
      <c r="B285" s="743"/>
      <c r="C285" s="743"/>
      <c r="D285" s="743"/>
      <c r="E285" s="743"/>
      <c r="F285" s="743"/>
      <c r="G285" s="743"/>
      <c r="H285" s="743"/>
      <c r="I285" s="743"/>
      <c r="J285" s="744"/>
    </row>
    <row r="286" spans="1:10" ht="12.75" customHeight="1" x14ac:dyDescent="0.2">
      <c r="A286" s="742"/>
      <c r="B286" s="743"/>
      <c r="C286" s="743"/>
      <c r="D286" s="743"/>
      <c r="E286" s="743"/>
      <c r="F286" s="743"/>
      <c r="G286" s="743"/>
      <c r="H286" s="743"/>
      <c r="I286" s="743"/>
      <c r="J286" s="744"/>
    </row>
    <row r="287" spans="1:10" ht="12.75" customHeight="1" x14ac:dyDescent="0.2">
      <c r="A287" s="721" t="s">
        <v>357</v>
      </c>
      <c r="B287" s="722"/>
      <c r="C287" s="722"/>
      <c r="D287" s="722"/>
      <c r="E287" s="722"/>
      <c r="F287" s="722"/>
      <c r="G287" s="722"/>
      <c r="H287" s="722"/>
      <c r="I287" s="722"/>
      <c r="J287" s="723"/>
    </row>
    <row r="288" spans="1:10" ht="12.75" customHeight="1" x14ac:dyDescent="0.2">
      <c r="A288" s="742" t="s">
        <v>1048</v>
      </c>
      <c r="B288" s="743"/>
      <c r="C288" s="743"/>
      <c r="D288" s="743"/>
      <c r="E288" s="743"/>
      <c r="F288" s="743"/>
      <c r="G288" s="743"/>
      <c r="H288" s="743"/>
      <c r="I288" s="743"/>
      <c r="J288" s="744"/>
    </row>
    <row r="289" spans="1:10" ht="12.75" customHeight="1" x14ac:dyDescent="0.2">
      <c r="A289" s="742"/>
      <c r="B289" s="743"/>
      <c r="C289" s="743"/>
      <c r="D289" s="743"/>
      <c r="E289" s="743"/>
      <c r="F289" s="743"/>
      <c r="G289" s="743"/>
      <c r="H289" s="743"/>
      <c r="I289" s="743"/>
      <c r="J289" s="744"/>
    </row>
    <row r="290" spans="1:10" ht="12.75" customHeight="1" x14ac:dyDescent="0.2">
      <c r="A290" s="742"/>
      <c r="B290" s="743"/>
      <c r="C290" s="743"/>
      <c r="D290" s="743"/>
      <c r="E290" s="743"/>
      <c r="F290" s="743"/>
      <c r="G290" s="743"/>
      <c r="H290" s="743"/>
      <c r="I290" s="743"/>
      <c r="J290" s="744"/>
    </row>
    <row r="291" spans="1:10" ht="12.75" customHeight="1" x14ac:dyDescent="0.2">
      <c r="A291" s="742"/>
      <c r="B291" s="743"/>
      <c r="C291" s="743"/>
      <c r="D291" s="743"/>
      <c r="E291" s="743"/>
      <c r="F291" s="743"/>
      <c r="G291" s="743"/>
      <c r="H291" s="743"/>
      <c r="I291" s="743"/>
      <c r="J291" s="744"/>
    </row>
    <row r="292" spans="1:10" ht="12.75" customHeight="1" x14ac:dyDescent="0.2">
      <c r="A292" s="742"/>
      <c r="B292" s="743"/>
      <c r="C292" s="743"/>
      <c r="D292" s="743"/>
      <c r="E292" s="743"/>
      <c r="F292" s="743"/>
      <c r="G292" s="743"/>
      <c r="H292" s="743"/>
      <c r="I292" s="743"/>
      <c r="J292" s="744"/>
    </row>
    <row r="293" spans="1:10" ht="12.75" customHeight="1" x14ac:dyDescent="0.2">
      <c r="A293" s="742"/>
      <c r="B293" s="743"/>
      <c r="C293" s="743"/>
      <c r="D293" s="743"/>
      <c r="E293" s="743"/>
      <c r="F293" s="743"/>
      <c r="G293" s="743"/>
      <c r="H293" s="743"/>
      <c r="I293" s="743"/>
      <c r="J293" s="744"/>
    </row>
    <row r="294" spans="1:10" ht="12.75" customHeight="1" x14ac:dyDescent="0.2">
      <c r="A294" s="742"/>
      <c r="B294" s="743"/>
      <c r="C294" s="743"/>
      <c r="D294" s="743"/>
      <c r="E294" s="743"/>
      <c r="F294" s="743"/>
      <c r="G294" s="743"/>
      <c r="H294" s="743"/>
      <c r="I294" s="743"/>
      <c r="J294" s="744"/>
    </row>
    <row r="295" spans="1:10" ht="12.75" customHeight="1" x14ac:dyDescent="0.2">
      <c r="A295" s="742"/>
      <c r="B295" s="743"/>
      <c r="C295" s="743"/>
      <c r="D295" s="743"/>
      <c r="E295" s="743"/>
      <c r="F295" s="743"/>
      <c r="G295" s="743"/>
      <c r="H295" s="743"/>
      <c r="I295" s="743"/>
      <c r="J295" s="744"/>
    </row>
    <row r="296" spans="1:10" s="61" customFormat="1" x14ac:dyDescent="0.2">
      <c r="A296" s="55"/>
      <c r="B296" s="56"/>
      <c r="C296" s="57"/>
      <c r="D296" s="58"/>
      <c r="E296" s="58"/>
      <c r="F296" s="58"/>
      <c r="G296" s="58"/>
      <c r="H296" s="59"/>
      <c r="I296" s="57"/>
      <c r="J296" s="60"/>
    </row>
    <row r="297" spans="1:10" s="61" customFormat="1" ht="25.5" customHeight="1" x14ac:dyDescent="0.2">
      <c r="A297" s="730" t="s">
        <v>331</v>
      </c>
      <c r="B297" s="731"/>
      <c r="C297" s="731"/>
      <c r="D297" s="731"/>
      <c r="E297" s="731"/>
      <c r="F297" s="731"/>
      <c r="G297" s="731"/>
      <c r="H297" s="731"/>
      <c r="I297" s="731"/>
      <c r="J297" s="732"/>
    </row>
    <row r="298" spans="1:10" ht="12.75" customHeight="1" x14ac:dyDescent="0.2">
      <c r="A298" s="87"/>
      <c r="B298" s="73"/>
      <c r="C298" s="72"/>
      <c r="D298" s="72"/>
      <c r="E298" s="72"/>
      <c r="F298" s="72"/>
      <c r="G298" s="72"/>
      <c r="H298" s="72"/>
      <c r="I298" s="72"/>
      <c r="J298" s="84"/>
    </row>
    <row r="299" spans="1:10" ht="12.75" customHeight="1" x14ac:dyDescent="0.2">
      <c r="A299" s="87"/>
      <c r="B299" s="735" t="s">
        <v>24</v>
      </c>
      <c r="C299" s="735"/>
      <c r="D299" s="735"/>
      <c r="E299" s="735"/>
      <c r="F299" s="735"/>
      <c r="G299" s="735"/>
      <c r="H299" s="735"/>
      <c r="I299" s="735"/>
      <c r="J299" s="95"/>
    </row>
    <row r="300" spans="1:10" ht="12.75" customHeight="1" thickBot="1" x14ac:dyDescent="0.25">
      <c r="A300" s="87"/>
      <c r="B300" s="168"/>
      <c r="C300" s="168"/>
      <c r="D300" s="168"/>
      <c r="E300" s="168"/>
      <c r="F300" s="168"/>
      <c r="G300" s="168"/>
      <c r="H300" s="168"/>
      <c r="I300" s="168"/>
      <c r="J300" s="84"/>
    </row>
    <row r="301" spans="1:10" ht="12.75" customHeight="1" thickBot="1" x14ac:dyDescent="0.25">
      <c r="A301" s="87"/>
      <c r="B301" s="71" t="s">
        <v>23</v>
      </c>
      <c r="C301" s="72"/>
      <c r="D301" s="733" t="s">
        <v>567</v>
      </c>
      <c r="E301" s="733"/>
      <c r="F301" s="733"/>
      <c r="G301" s="733"/>
      <c r="H301" s="733"/>
      <c r="I301" s="733"/>
      <c r="J301" s="124"/>
    </row>
    <row r="302" spans="1:10" x14ac:dyDescent="0.2">
      <c r="A302" s="87"/>
      <c r="B302" s="74"/>
      <c r="C302" s="72"/>
      <c r="D302" s="733"/>
      <c r="E302" s="733"/>
      <c r="F302" s="733"/>
      <c r="G302" s="733"/>
      <c r="H302" s="733"/>
      <c r="I302" s="733"/>
      <c r="J302" s="124"/>
    </row>
    <row r="303" spans="1:10" x14ac:dyDescent="0.2">
      <c r="A303" s="87"/>
      <c r="B303" s="74"/>
      <c r="C303" s="72"/>
      <c r="D303" s="733"/>
      <c r="E303" s="733"/>
      <c r="F303" s="733"/>
      <c r="G303" s="733"/>
      <c r="H303" s="733"/>
      <c r="I303" s="733"/>
      <c r="J303" s="124"/>
    </row>
    <row r="304" spans="1:10" ht="13.5" thickBot="1" x14ac:dyDescent="0.25">
      <c r="A304" s="87"/>
      <c r="B304" s="74"/>
      <c r="C304" s="72"/>
      <c r="D304" s="123"/>
      <c r="E304" s="123"/>
      <c r="F304" s="123"/>
      <c r="G304" s="123"/>
      <c r="H304" s="123"/>
      <c r="I304" s="123"/>
      <c r="J304" s="124"/>
    </row>
    <row r="305" spans="1:10" ht="12.75" customHeight="1" thickBot="1" x14ac:dyDescent="0.25">
      <c r="A305" s="87"/>
      <c r="B305" s="76" t="s">
        <v>23</v>
      </c>
      <c r="C305" s="72"/>
      <c r="D305" s="733" t="s">
        <v>358</v>
      </c>
      <c r="E305" s="733"/>
      <c r="F305" s="733"/>
      <c r="G305" s="733"/>
      <c r="H305" s="733"/>
      <c r="I305" s="733"/>
      <c r="J305" s="124"/>
    </row>
    <row r="306" spans="1:10" x14ac:dyDescent="0.2">
      <c r="A306" s="87"/>
      <c r="B306" s="73"/>
      <c r="C306" s="72"/>
      <c r="D306" s="733"/>
      <c r="E306" s="733"/>
      <c r="F306" s="733"/>
      <c r="G306" s="733"/>
      <c r="H306" s="733"/>
      <c r="I306" s="733"/>
      <c r="J306" s="84"/>
    </row>
    <row r="307" spans="1:10" x14ac:dyDescent="0.2">
      <c r="A307" s="87"/>
      <c r="B307" s="73"/>
      <c r="C307" s="72"/>
      <c r="D307" s="733"/>
      <c r="E307" s="733"/>
      <c r="F307" s="733"/>
      <c r="G307" s="733"/>
      <c r="H307" s="733"/>
      <c r="I307" s="733"/>
      <c r="J307" s="84"/>
    </row>
    <row r="308" spans="1:10" x14ac:dyDescent="0.2">
      <c r="A308" s="87"/>
      <c r="B308" s="73"/>
      <c r="C308" s="72"/>
      <c r="D308" s="733"/>
      <c r="E308" s="733"/>
      <c r="F308" s="733"/>
      <c r="G308" s="733"/>
      <c r="H308" s="733"/>
      <c r="I308" s="733"/>
      <c r="J308" s="84"/>
    </row>
    <row r="309" spans="1:10" ht="12.75" customHeight="1" x14ac:dyDescent="0.2">
      <c r="A309" s="87"/>
      <c r="B309" s="74"/>
      <c r="C309" s="72"/>
      <c r="D309" s="733"/>
      <c r="E309" s="733"/>
      <c r="F309" s="733"/>
      <c r="G309" s="733"/>
      <c r="H309" s="733"/>
      <c r="I309" s="733"/>
      <c r="J309" s="124"/>
    </row>
    <row r="310" spans="1:10" ht="13.5" thickBot="1" x14ac:dyDescent="0.25">
      <c r="A310" s="112"/>
      <c r="B310" s="113"/>
      <c r="C310" s="114"/>
      <c r="D310" s="126"/>
      <c r="E310" s="126"/>
      <c r="F310" s="126"/>
      <c r="G310" s="126"/>
      <c r="H310" s="126"/>
      <c r="I310" s="126"/>
      <c r="J310" s="124"/>
    </row>
    <row r="311" spans="1:10" ht="12.75" customHeight="1" thickBot="1" x14ac:dyDescent="0.25">
      <c r="A311" s="115"/>
      <c r="B311" s="76" t="s">
        <v>23</v>
      </c>
      <c r="C311" s="116"/>
      <c r="D311" s="745" t="s">
        <v>332</v>
      </c>
      <c r="E311" s="745"/>
      <c r="F311" s="745"/>
      <c r="G311" s="745"/>
      <c r="H311" s="745"/>
      <c r="I311" s="745"/>
      <c r="J311" s="117"/>
    </row>
    <row r="312" spans="1:10" ht="12.75" customHeight="1" x14ac:dyDescent="0.2">
      <c r="A312" s="115"/>
      <c r="B312" s="116"/>
      <c r="C312" s="116"/>
      <c r="D312" s="745"/>
      <c r="E312" s="745"/>
      <c r="F312" s="745"/>
      <c r="G312" s="745"/>
      <c r="H312" s="745"/>
      <c r="I312" s="745"/>
      <c r="J312" s="117"/>
    </row>
    <row r="313" spans="1:10" ht="12.75" customHeight="1" x14ac:dyDescent="0.2">
      <c r="A313" s="115"/>
      <c r="B313" s="116"/>
      <c r="C313" s="116"/>
      <c r="D313" s="745"/>
      <c r="E313" s="745"/>
      <c r="F313" s="745"/>
      <c r="G313" s="745"/>
      <c r="H313" s="745"/>
      <c r="I313" s="745"/>
      <c r="J313" s="117"/>
    </row>
    <row r="314" spans="1:10" ht="19.899999999999999" customHeight="1" x14ac:dyDescent="0.2">
      <c r="A314" s="115"/>
      <c r="B314" s="116"/>
      <c r="C314" s="116"/>
      <c r="D314" s="745"/>
      <c r="E314" s="745"/>
      <c r="F314" s="745"/>
      <c r="G314" s="745"/>
      <c r="H314" s="745"/>
      <c r="I314" s="745"/>
      <c r="J314" s="117"/>
    </row>
    <row r="315" spans="1:10" ht="22.15" customHeight="1" thickBot="1" x14ac:dyDescent="0.25">
      <c r="A315" s="118"/>
      <c r="B315" s="119"/>
      <c r="C315" s="119"/>
      <c r="D315" s="121"/>
      <c r="E315" s="121"/>
      <c r="F315" s="121"/>
      <c r="G315" s="121"/>
      <c r="H315" s="121"/>
      <c r="I315" s="121"/>
      <c r="J315" s="120"/>
    </row>
    <row r="316" spans="1:10" ht="12.75" customHeight="1" thickTop="1" x14ac:dyDescent="0.2"/>
  </sheetData>
  <sheetProtection password="E686" sheet="1" objects="1" scenarios="1" formatRows="0"/>
  <mergeCells count="134">
    <mergeCell ref="D311:I314"/>
    <mergeCell ref="D301:I303"/>
    <mergeCell ref="D305:I309"/>
    <mergeCell ref="A198:J214"/>
    <mergeCell ref="A297:J297"/>
    <mergeCell ref="B299:I299"/>
    <mergeCell ref="A279:J286"/>
    <mergeCell ref="A287:J287"/>
    <mergeCell ref="A288:J295"/>
    <mergeCell ref="B218:I219"/>
    <mergeCell ref="A277:J278"/>
    <mergeCell ref="A269:J276"/>
    <mergeCell ref="D233:H233"/>
    <mergeCell ref="D235:H235"/>
    <mergeCell ref="D239:I239"/>
    <mergeCell ref="D240:I240"/>
    <mergeCell ref="A242:J242"/>
    <mergeCell ref="A243:J250"/>
    <mergeCell ref="A259:J259"/>
    <mergeCell ref="A260:J267"/>
    <mergeCell ref="A268:J268"/>
    <mergeCell ref="A251:J251"/>
    <mergeCell ref="A252:J258"/>
    <mergeCell ref="D225:I225"/>
    <mergeCell ref="G114:H114"/>
    <mergeCell ref="G115:H115"/>
    <mergeCell ref="D100:I100"/>
    <mergeCell ref="D104:I104"/>
    <mergeCell ref="G118:H118"/>
    <mergeCell ref="A110:J113"/>
    <mergeCell ref="D106:I106"/>
    <mergeCell ref="I122:J122"/>
    <mergeCell ref="G135:H135"/>
    <mergeCell ref="I115:J115"/>
    <mergeCell ref="C135:D135"/>
    <mergeCell ref="G116:H116"/>
    <mergeCell ref="I127:J127"/>
    <mergeCell ref="I128:J128"/>
    <mergeCell ref="I129:J129"/>
    <mergeCell ref="I130:J130"/>
    <mergeCell ref="I131:J131"/>
    <mergeCell ref="G126:H126"/>
    <mergeCell ref="G124:H124"/>
    <mergeCell ref="I124:J124"/>
    <mergeCell ref="I126:J126"/>
    <mergeCell ref="G121:H121"/>
    <mergeCell ref="G125:H125"/>
    <mergeCell ref="I125:J125"/>
    <mergeCell ref="I132:J132"/>
    <mergeCell ref="I133:J133"/>
    <mergeCell ref="I134:J134"/>
    <mergeCell ref="D163:I163"/>
    <mergeCell ref="A138:J141"/>
    <mergeCell ref="D143:J146"/>
    <mergeCell ref="D161:H161"/>
    <mergeCell ref="D153:I153"/>
    <mergeCell ref="G171:H171"/>
    <mergeCell ref="B149:J151"/>
    <mergeCell ref="A167:J170"/>
    <mergeCell ref="D155:H155"/>
    <mergeCell ref="D157:H157"/>
    <mergeCell ref="I135:J135"/>
    <mergeCell ref="A137:J137"/>
    <mergeCell ref="A171:B171"/>
    <mergeCell ref="D231:I231"/>
    <mergeCell ref="D237:H237"/>
    <mergeCell ref="A216:J216"/>
    <mergeCell ref="D221:H221"/>
    <mergeCell ref="D223:H223"/>
    <mergeCell ref="D227:H227"/>
    <mergeCell ref="A173:J176"/>
    <mergeCell ref="D229:H229"/>
    <mergeCell ref="G172:H172"/>
    <mergeCell ref="A194:J197"/>
    <mergeCell ref="A172:B172"/>
    <mergeCell ref="C172:D172"/>
    <mergeCell ref="E172:F172"/>
    <mergeCell ref="A177:J193"/>
    <mergeCell ref="G123:H123"/>
    <mergeCell ref="I172:J172"/>
    <mergeCell ref="C171:D171"/>
    <mergeCell ref="E171:F171"/>
    <mergeCell ref="I171:J171"/>
    <mergeCell ref="D159:I159"/>
    <mergeCell ref="D60:H60"/>
    <mergeCell ref="D62:H62"/>
    <mergeCell ref="D64:I64"/>
    <mergeCell ref="D65:I65"/>
    <mergeCell ref="G127:H127"/>
    <mergeCell ref="G128:H128"/>
    <mergeCell ref="G129:H129"/>
    <mergeCell ref="G131:H131"/>
    <mergeCell ref="G122:H122"/>
    <mergeCell ref="D103:H103"/>
    <mergeCell ref="D107:I107"/>
    <mergeCell ref="D164:I164"/>
    <mergeCell ref="I123:J123"/>
    <mergeCell ref="G119:H119"/>
    <mergeCell ref="G117:H117"/>
    <mergeCell ref="G120:H120"/>
    <mergeCell ref="I121:J121"/>
    <mergeCell ref="D98:I98"/>
    <mergeCell ref="D101:I101"/>
    <mergeCell ref="A69:J72"/>
    <mergeCell ref="A68:J68"/>
    <mergeCell ref="D97:H97"/>
    <mergeCell ref="D85:J85"/>
    <mergeCell ref="D74:J84"/>
    <mergeCell ref="D91:I91"/>
    <mergeCell ref="B88:J89"/>
    <mergeCell ref="D92:I92"/>
    <mergeCell ref="D95:I95"/>
    <mergeCell ref="D94:H94"/>
    <mergeCell ref="D41:H41"/>
    <mergeCell ref="D45:H45"/>
    <mergeCell ref="D47:H47"/>
    <mergeCell ref="D49:I49"/>
    <mergeCell ref="D39:H39"/>
    <mergeCell ref="D58:H58"/>
    <mergeCell ref="A1:J2"/>
    <mergeCell ref="A3:J6"/>
    <mergeCell ref="A8:J18"/>
    <mergeCell ref="D20:J21"/>
    <mergeCell ref="D23:H23"/>
    <mergeCell ref="D26:H26"/>
    <mergeCell ref="D32:H32"/>
    <mergeCell ref="D34:H34"/>
    <mergeCell ref="D35:I35"/>
    <mergeCell ref="B28:H28"/>
    <mergeCell ref="B30:C30"/>
    <mergeCell ref="D50:I50"/>
    <mergeCell ref="B52:C52"/>
    <mergeCell ref="D54:H54"/>
    <mergeCell ref="D56:H56"/>
  </mergeCells>
  <dataValidations count="4">
    <dataValidation type="list" allowBlank="1" showInputMessage="1" showErrorMessage="1" sqref="B311 B305 B301 B94 B91 B97 B100 B106 B85 B103 B143 B74 B62 B60 B58 B56 B54 B49 B45 B47 B43 B37 B34 B20 B39 B41 B32 B64 B161 B157 B153 B155 B159 B163 B233 B235 B231 B225 B227 B229 B221 B223 B237 B239">
      <formula1>check</formula1>
    </dataValidation>
    <dataValidation type="textLength" operator="lessThan" allowBlank="1" showInputMessage="1" showErrorMessage="1" errorTitle="Too Much Text" error="Provide a brief description using no more than 100 characters here.  A more full description should be included within the narrative (tab 9)." sqref="G279:J286 G288:J295 G269:J276 G260:J267 G198:J214 G177:J193 G243:J250 G252:J258">
      <formula1>101</formula1>
    </dataValidation>
    <dataValidation allowBlank="1" showInputMessage="1" showErrorMessage="1" promptTitle="Total Amount" prompt="Input the total amount of these funds being used to fund this individual's salary and benefits." sqref="F279:F286 F288:F295 F269:F276 F260:F267 F198:F214 F177:F193 F243:F250 F252:F258"/>
    <dataValidation type="list" allowBlank="1" showInputMessage="1" showErrorMessage="1" sqref="E279:E286 E288:E295 E269:E276 E260:E267 E198:E214 E177:E193 E243:E250 E252:E258">
      <formula1>program</formula1>
    </dataValidation>
  </dataValidations>
  <pageMargins left="0.75" right="0.75" top="1" bottom="1" header="0.5" footer="0.5"/>
  <pageSetup scale="49" fitToWidth="0" fitToHeight="0" orientation="portrait" r:id="rId1"/>
  <headerFooter alignWithMargins="0">
    <oddHeader>&amp;LFFY 2012 Consolidated Application&amp;C&amp;A&amp;R&amp;P of &amp;N</oddHeader>
  </headerFooter>
  <rowBreaks count="4" manualBreakCount="4">
    <brk id="67" max="9" man="1"/>
    <brk id="136" max="9" man="1"/>
    <brk id="215" max="9" man="1"/>
    <brk id="296"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21"/>
  <sheetViews>
    <sheetView topLeftCell="A10" zoomScale="82" zoomScaleNormal="82" workbookViewId="0">
      <selection activeCell="Q41" sqref="Q41"/>
    </sheetView>
  </sheetViews>
  <sheetFormatPr defaultColWidth="9.140625" defaultRowHeight="12.75" customHeight="1" x14ac:dyDescent="0.2"/>
  <cols>
    <col min="1" max="10" width="15.7109375" style="1" customWidth="1"/>
    <col min="11" max="12" width="0" style="1" hidden="1" customWidth="1"/>
    <col min="13" max="16384" width="9.140625" style="1"/>
  </cols>
  <sheetData>
    <row r="1" spans="1:10" ht="12.75" customHeight="1" thickTop="1" x14ac:dyDescent="0.2">
      <c r="A1" s="756" t="s">
        <v>204</v>
      </c>
      <c r="B1" s="757"/>
      <c r="C1" s="757"/>
      <c r="D1" s="757"/>
      <c r="E1" s="757"/>
      <c r="F1" s="757"/>
      <c r="G1" s="757"/>
      <c r="H1" s="757"/>
      <c r="I1" s="757"/>
      <c r="J1" s="758"/>
    </row>
    <row r="2" spans="1:10" ht="12.75" customHeight="1" x14ac:dyDescent="0.2">
      <c r="A2" s="759"/>
      <c r="B2" s="760"/>
      <c r="C2" s="760"/>
      <c r="D2" s="760"/>
      <c r="E2" s="760"/>
      <c r="F2" s="760"/>
      <c r="G2" s="760"/>
      <c r="H2" s="760"/>
      <c r="I2" s="760"/>
      <c r="J2" s="761"/>
    </row>
    <row r="3" spans="1:10" ht="12.75" customHeight="1" x14ac:dyDescent="0.2">
      <c r="A3" s="673" t="s">
        <v>205</v>
      </c>
      <c r="B3" s="674"/>
      <c r="C3" s="674"/>
      <c r="D3" s="674"/>
      <c r="E3" s="674"/>
      <c r="F3" s="674"/>
      <c r="G3" s="674"/>
      <c r="H3" s="674"/>
      <c r="I3" s="674"/>
      <c r="J3" s="675"/>
    </row>
    <row r="4" spans="1:10" ht="12.75" customHeight="1" x14ac:dyDescent="0.2">
      <c r="A4" s="705"/>
      <c r="B4" s="706"/>
      <c r="C4" s="706"/>
      <c r="D4" s="706"/>
      <c r="E4" s="706"/>
      <c r="F4" s="706"/>
      <c r="G4" s="706"/>
      <c r="H4" s="706"/>
      <c r="I4" s="706"/>
      <c r="J4" s="707"/>
    </row>
    <row r="5" spans="1:10" ht="12.75" customHeight="1" x14ac:dyDescent="0.2">
      <c r="A5" s="676"/>
      <c r="B5" s="677"/>
      <c r="C5" s="677"/>
      <c r="D5" s="677"/>
      <c r="E5" s="677"/>
      <c r="F5" s="677"/>
      <c r="G5" s="677"/>
      <c r="H5" s="677"/>
      <c r="I5" s="677"/>
      <c r="J5" s="678"/>
    </row>
    <row r="6" spans="1:10" ht="12.75" customHeight="1" x14ac:dyDescent="0.2">
      <c r="A6" s="708" t="s">
        <v>207</v>
      </c>
      <c r="B6" s="709"/>
      <c r="C6" s="709"/>
      <c r="D6" s="709"/>
      <c r="E6" s="709"/>
      <c r="F6" s="709"/>
      <c r="G6" s="709"/>
      <c r="H6" s="709"/>
      <c r="I6" s="709"/>
      <c r="J6" s="710"/>
    </row>
    <row r="7" spans="1:10" ht="12.75" customHeight="1" x14ac:dyDescent="0.2">
      <c r="A7" s="711"/>
      <c r="B7" s="712"/>
      <c r="C7" s="712"/>
      <c r="D7" s="712"/>
      <c r="E7" s="712"/>
      <c r="F7" s="712"/>
      <c r="G7" s="712"/>
      <c r="H7" s="712"/>
      <c r="I7" s="712"/>
      <c r="J7" s="713"/>
    </row>
    <row r="8" spans="1:10" ht="12.75" customHeight="1" x14ac:dyDescent="0.2">
      <c r="A8" s="711"/>
      <c r="B8" s="712"/>
      <c r="C8" s="712"/>
      <c r="D8" s="712"/>
      <c r="E8" s="712"/>
      <c r="F8" s="712"/>
      <c r="G8" s="712"/>
      <c r="H8" s="712"/>
      <c r="I8" s="712"/>
      <c r="J8" s="713"/>
    </row>
    <row r="9" spans="1:10" ht="12.75" customHeight="1" x14ac:dyDescent="0.2">
      <c r="A9" s="711"/>
      <c r="B9" s="712"/>
      <c r="C9" s="712"/>
      <c r="D9" s="712"/>
      <c r="E9" s="712"/>
      <c r="F9" s="712"/>
      <c r="G9" s="712"/>
      <c r="H9" s="712"/>
      <c r="I9" s="712"/>
      <c r="J9" s="713"/>
    </row>
    <row r="10" spans="1:10" ht="12.75" customHeight="1" x14ac:dyDescent="0.2">
      <c r="A10" s="711"/>
      <c r="B10" s="712"/>
      <c r="C10" s="712"/>
      <c r="D10" s="712"/>
      <c r="E10" s="712"/>
      <c r="F10" s="712"/>
      <c r="G10" s="712"/>
      <c r="H10" s="712"/>
      <c r="I10" s="712"/>
      <c r="J10" s="713"/>
    </row>
    <row r="11" spans="1:10" ht="17.45" customHeight="1" x14ac:dyDescent="0.2">
      <c r="A11" s="711"/>
      <c r="B11" s="712"/>
      <c r="C11" s="712"/>
      <c r="D11" s="712"/>
      <c r="E11" s="712"/>
      <c r="F11" s="712"/>
      <c r="G11" s="712"/>
      <c r="H11" s="712"/>
      <c r="I11" s="712"/>
      <c r="J11" s="713"/>
    </row>
    <row r="12" spans="1:10" ht="12.75" customHeight="1" x14ac:dyDescent="0.2">
      <c r="A12" s="62"/>
      <c r="B12" s="63"/>
      <c r="C12" s="63"/>
      <c r="D12" s="63"/>
      <c r="E12" s="63"/>
      <c r="F12" s="63"/>
      <c r="G12" s="63"/>
      <c r="H12" s="63"/>
      <c r="I12" s="63"/>
      <c r="J12" s="64"/>
    </row>
    <row r="13" spans="1:10" ht="12.75" customHeight="1" x14ac:dyDescent="0.2">
      <c r="A13" s="762" t="s">
        <v>206</v>
      </c>
      <c r="B13" s="763"/>
      <c r="C13" s="763"/>
      <c r="D13" s="763"/>
      <c r="E13" s="763"/>
      <c r="F13" s="763"/>
      <c r="G13" s="763"/>
      <c r="H13" s="763"/>
      <c r="I13" s="763"/>
      <c r="J13" s="764"/>
    </row>
    <row r="14" spans="1:10" ht="12.75" customHeight="1" x14ac:dyDescent="0.2">
      <c r="A14" s="762"/>
      <c r="B14" s="763"/>
      <c r="C14" s="763"/>
      <c r="D14" s="763"/>
      <c r="E14" s="763"/>
      <c r="F14" s="763"/>
      <c r="G14" s="763"/>
      <c r="H14" s="763"/>
      <c r="I14" s="763"/>
      <c r="J14" s="764"/>
    </row>
    <row r="15" spans="1:10" ht="12.75" customHeight="1" x14ac:dyDescent="0.2">
      <c r="A15" s="762"/>
      <c r="B15" s="763"/>
      <c r="C15" s="763"/>
      <c r="D15" s="763"/>
      <c r="E15" s="763"/>
      <c r="F15" s="763"/>
      <c r="G15" s="763"/>
      <c r="H15" s="763"/>
      <c r="I15" s="763"/>
      <c r="J15" s="764"/>
    </row>
    <row r="16" spans="1:10" ht="12.75" customHeight="1" x14ac:dyDescent="0.2">
      <c r="A16" s="762"/>
      <c r="B16" s="763"/>
      <c r="C16" s="763"/>
      <c r="D16" s="763"/>
      <c r="E16" s="763"/>
      <c r="F16" s="763"/>
      <c r="G16" s="763"/>
      <c r="H16" s="763"/>
      <c r="I16" s="763"/>
      <c r="J16" s="764"/>
    </row>
    <row r="17" spans="1:10" ht="12.75" customHeight="1" x14ac:dyDescent="0.2">
      <c r="A17" s="65"/>
      <c r="B17" s="67"/>
      <c r="C17" s="67"/>
      <c r="D17" s="67"/>
      <c r="E17" s="67"/>
      <c r="F17" s="67"/>
      <c r="G17" s="67"/>
      <c r="H17" s="67"/>
      <c r="I17" s="67"/>
      <c r="J17" s="68"/>
    </row>
    <row r="18" spans="1:10" ht="12.75" customHeight="1" x14ac:dyDescent="0.2">
      <c r="A18" s="62"/>
      <c r="B18" s="63"/>
      <c r="C18" s="63"/>
      <c r="D18" s="63"/>
      <c r="E18" s="63"/>
      <c r="F18" s="63"/>
      <c r="G18" s="63"/>
      <c r="H18" s="63"/>
      <c r="I18" s="63"/>
      <c r="J18" s="64"/>
    </row>
    <row r="19" spans="1:10" s="61" customFormat="1" x14ac:dyDescent="0.2">
      <c r="A19" s="55"/>
      <c r="B19" s="56"/>
      <c r="C19" s="57"/>
      <c r="D19" s="58"/>
      <c r="E19" s="58"/>
      <c r="F19" s="58"/>
      <c r="G19" s="58"/>
      <c r="H19" s="59"/>
      <c r="I19" s="57"/>
      <c r="J19" s="60"/>
    </row>
    <row r="20" spans="1:10" s="61" customFormat="1" ht="25.5" customHeight="1" x14ac:dyDescent="0.2">
      <c r="A20" s="751" t="s">
        <v>194</v>
      </c>
      <c r="B20" s="752"/>
      <c r="C20" s="752"/>
      <c r="D20" s="752"/>
      <c r="E20" s="752"/>
      <c r="F20" s="753" t="s">
        <v>749</v>
      </c>
      <c r="G20" s="754"/>
      <c r="H20" s="754"/>
      <c r="I20" s="754"/>
      <c r="J20" s="755"/>
    </row>
    <row r="21" spans="1:10" s="61" customFormat="1" ht="12.75" customHeight="1" x14ac:dyDescent="0.2">
      <c r="A21" s="475" t="s">
        <v>510</v>
      </c>
      <c r="B21" s="476"/>
      <c r="C21" s="476"/>
      <c r="D21" s="476"/>
      <c r="E21" s="476"/>
      <c r="F21" s="746">
        <v>1</v>
      </c>
      <c r="G21" s="746"/>
      <c r="H21" s="746"/>
      <c r="I21" s="746"/>
      <c r="J21" s="747"/>
    </row>
    <row r="22" spans="1:10" ht="12.75" customHeight="1" x14ac:dyDescent="0.2">
      <c r="A22" s="721" t="s">
        <v>367</v>
      </c>
      <c r="B22" s="722"/>
      <c r="C22" s="722"/>
      <c r="D22" s="722"/>
      <c r="E22" s="722"/>
      <c r="F22" s="722"/>
      <c r="G22" s="722"/>
      <c r="H22" s="722"/>
      <c r="I22" s="722"/>
      <c r="J22" s="723"/>
    </row>
    <row r="23" spans="1:10" ht="12.75" customHeight="1" x14ac:dyDescent="0.2">
      <c r="A23" s="724"/>
      <c r="B23" s="725"/>
      <c r="C23" s="725"/>
      <c r="D23" s="725"/>
      <c r="E23" s="725"/>
      <c r="F23" s="725"/>
      <c r="G23" s="725"/>
      <c r="H23" s="725"/>
      <c r="I23" s="725"/>
      <c r="J23" s="726"/>
    </row>
    <row r="24" spans="1:10" ht="12.75" customHeight="1" x14ac:dyDescent="0.2">
      <c r="A24" s="724"/>
      <c r="B24" s="725"/>
      <c r="C24" s="725"/>
      <c r="D24" s="725"/>
      <c r="E24" s="725"/>
      <c r="F24" s="725"/>
      <c r="G24" s="725"/>
      <c r="H24" s="725"/>
      <c r="I24" s="725"/>
      <c r="J24" s="726"/>
    </row>
    <row r="25" spans="1:10" ht="15" customHeight="1" x14ac:dyDescent="0.2">
      <c r="A25" s="727"/>
      <c r="B25" s="728"/>
      <c r="C25" s="728"/>
      <c r="D25" s="728"/>
      <c r="E25" s="728"/>
      <c r="F25" s="728"/>
      <c r="G25" s="728"/>
      <c r="H25" s="728"/>
      <c r="I25" s="728"/>
      <c r="J25" s="729"/>
    </row>
    <row r="26" spans="1:10" ht="12.75" customHeight="1" x14ac:dyDescent="0.2">
      <c r="A26" s="742" t="s">
        <v>751</v>
      </c>
      <c r="B26" s="743"/>
      <c r="C26" s="743"/>
      <c r="D26" s="743"/>
      <c r="E26" s="743"/>
      <c r="F26" s="743"/>
      <c r="G26" s="743"/>
      <c r="H26" s="743"/>
      <c r="I26" s="743"/>
      <c r="J26" s="744"/>
    </row>
    <row r="27" spans="1:10" ht="12.75" customHeight="1" x14ac:dyDescent="0.2">
      <c r="A27" s="742"/>
      <c r="B27" s="743"/>
      <c r="C27" s="743"/>
      <c r="D27" s="743"/>
      <c r="E27" s="743"/>
      <c r="F27" s="743"/>
      <c r="G27" s="743"/>
      <c r="H27" s="743"/>
      <c r="I27" s="743"/>
      <c r="J27" s="744"/>
    </row>
    <row r="28" spans="1:10" ht="12.75" customHeight="1" x14ac:dyDescent="0.2">
      <c r="A28" s="742"/>
      <c r="B28" s="743"/>
      <c r="C28" s="743"/>
      <c r="D28" s="743"/>
      <c r="E28" s="743"/>
      <c r="F28" s="743"/>
      <c r="G28" s="743"/>
      <c r="H28" s="743"/>
      <c r="I28" s="743"/>
      <c r="J28" s="744"/>
    </row>
    <row r="29" spans="1:10" ht="12.75" customHeight="1" x14ac:dyDescent="0.2">
      <c r="A29" s="742"/>
      <c r="B29" s="743"/>
      <c r="C29" s="743"/>
      <c r="D29" s="743"/>
      <c r="E29" s="743"/>
      <c r="F29" s="743"/>
      <c r="G29" s="743"/>
      <c r="H29" s="743"/>
      <c r="I29" s="743"/>
      <c r="J29" s="744"/>
    </row>
    <row r="30" spans="1:10" ht="12.75" customHeight="1" x14ac:dyDescent="0.2">
      <c r="A30" s="742"/>
      <c r="B30" s="743"/>
      <c r="C30" s="743"/>
      <c r="D30" s="743"/>
      <c r="E30" s="743"/>
      <c r="F30" s="743"/>
      <c r="G30" s="743"/>
      <c r="H30" s="743"/>
      <c r="I30" s="743"/>
      <c r="J30" s="744"/>
    </row>
    <row r="31" spans="1:10" ht="12.75" customHeight="1" x14ac:dyDescent="0.2">
      <c r="A31" s="742"/>
      <c r="B31" s="743"/>
      <c r="C31" s="743"/>
      <c r="D31" s="743"/>
      <c r="E31" s="743"/>
      <c r="F31" s="743"/>
      <c r="G31" s="743"/>
      <c r="H31" s="743"/>
      <c r="I31" s="743"/>
      <c r="J31" s="744"/>
    </row>
    <row r="32" spans="1:10" ht="12.75" customHeight="1" x14ac:dyDescent="0.2">
      <c r="A32" s="742"/>
      <c r="B32" s="743"/>
      <c r="C32" s="743"/>
      <c r="D32" s="743"/>
      <c r="E32" s="743"/>
      <c r="F32" s="743"/>
      <c r="G32" s="743"/>
      <c r="H32" s="743"/>
      <c r="I32" s="743"/>
      <c r="J32" s="744"/>
    </row>
    <row r="33" spans="1:10" ht="12.75" customHeight="1" x14ac:dyDescent="0.2">
      <c r="A33" s="742"/>
      <c r="B33" s="743"/>
      <c r="C33" s="743"/>
      <c r="D33" s="743"/>
      <c r="E33" s="743"/>
      <c r="F33" s="743"/>
      <c r="G33" s="743"/>
      <c r="H33" s="743"/>
      <c r="I33" s="743"/>
      <c r="J33" s="744"/>
    </row>
    <row r="34" spans="1:10" ht="12.75" customHeight="1" x14ac:dyDescent="0.2">
      <c r="A34" s="742"/>
      <c r="B34" s="743"/>
      <c r="C34" s="743"/>
      <c r="D34" s="743"/>
      <c r="E34" s="743"/>
      <c r="F34" s="743"/>
      <c r="G34" s="743"/>
      <c r="H34" s="743"/>
      <c r="I34" s="743"/>
      <c r="J34" s="744"/>
    </row>
    <row r="35" spans="1:10" ht="12.75" customHeight="1" x14ac:dyDescent="0.2">
      <c r="A35" s="742"/>
      <c r="B35" s="743"/>
      <c r="C35" s="743"/>
      <c r="D35" s="743"/>
      <c r="E35" s="743"/>
      <c r="F35" s="743"/>
      <c r="G35" s="743"/>
      <c r="H35" s="743"/>
      <c r="I35" s="743"/>
      <c r="J35" s="744"/>
    </row>
    <row r="36" spans="1:10" ht="12.75" customHeight="1" x14ac:dyDescent="0.2">
      <c r="A36" s="742"/>
      <c r="B36" s="743"/>
      <c r="C36" s="743"/>
      <c r="D36" s="743"/>
      <c r="E36" s="743"/>
      <c r="F36" s="743"/>
      <c r="G36" s="743"/>
      <c r="H36" s="743"/>
      <c r="I36" s="743"/>
      <c r="J36" s="744"/>
    </row>
    <row r="37" spans="1:10" ht="12.75" customHeight="1" x14ac:dyDescent="0.2">
      <c r="A37" s="742"/>
      <c r="B37" s="743"/>
      <c r="C37" s="743"/>
      <c r="D37" s="743"/>
      <c r="E37" s="743"/>
      <c r="F37" s="743"/>
      <c r="G37" s="743"/>
      <c r="H37" s="743"/>
      <c r="I37" s="743"/>
      <c r="J37" s="744"/>
    </row>
    <row r="38" spans="1:10" ht="12.75" customHeight="1" x14ac:dyDescent="0.2">
      <c r="A38" s="742"/>
      <c r="B38" s="743"/>
      <c r="C38" s="743"/>
      <c r="D38" s="743"/>
      <c r="E38" s="743"/>
      <c r="F38" s="743"/>
      <c r="G38" s="743"/>
      <c r="H38" s="743"/>
      <c r="I38" s="743"/>
      <c r="J38" s="744"/>
    </row>
    <row r="39" spans="1:10" ht="12.75" customHeight="1" x14ac:dyDescent="0.2">
      <c r="A39" s="742"/>
      <c r="B39" s="743"/>
      <c r="C39" s="743"/>
      <c r="D39" s="743"/>
      <c r="E39" s="743"/>
      <c r="F39" s="743"/>
      <c r="G39" s="743"/>
      <c r="H39" s="743"/>
      <c r="I39" s="743"/>
      <c r="J39" s="744"/>
    </row>
    <row r="40" spans="1:10" ht="12.75" customHeight="1" x14ac:dyDescent="0.2">
      <c r="A40" s="742"/>
      <c r="B40" s="743"/>
      <c r="C40" s="743"/>
      <c r="D40" s="743"/>
      <c r="E40" s="743"/>
      <c r="F40" s="743"/>
      <c r="G40" s="743"/>
      <c r="H40" s="743"/>
      <c r="I40" s="743"/>
      <c r="J40" s="744"/>
    </row>
    <row r="41" spans="1:10" ht="12.75" customHeight="1" x14ac:dyDescent="0.2">
      <c r="A41" s="742"/>
      <c r="B41" s="743"/>
      <c r="C41" s="743"/>
      <c r="D41" s="743"/>
      <c r="E41" s="743"/>
      <c r="F41" s="743"/>
      <c r="G41" s="743"/>
      <c r="H41" s="743"/>
      <c r="I41" s="743"/>
      <c r="J41" s="744"/>
    </row>
    <row r="42" spans="1:10" ht="12.75" customHeight="1" x14ac:dyDescent="0.2">
      <c r="A42" s="742"/>
      <c r="B42" s="743"/>
      <c r="C42" s="743"/>
      <c r="D42" s="743"/>
      <c r="E42" s="743"/>
      <c r="F42" s="743"/>
      <c r="G42" s="743"/>
      <c r="H42" s="743"/>
      <c r="I42" s="743"/>
      <c r="J42" s="744"/>
    </row>
    <row r="43" spans="1:10" s="61" customFormat="1" x14ac:dyDescent="0.2">
      <c r="A43" s="55"/>
      <c r="B43" s="56"/>
      <c r="C43" s="57"/>
      <c r="D43" s="58"/>
      <c r="E43" s="58"/>
      <c r="F43" s="58"/>
      <c r="G43" s="58"/>
      <c r="H43" s="59"/>
      <c r="I43" s="57"/>
      <c r="J43" s="60"/>
    </row>
    <row r="44" spans="1:10" s="61" customFormat="1" ht="25.5" customHeight="1" x14ac:dyDescent="0.2">
      <c r="A44" s="751" t="s">
        <v>203</v>
      </c>
      <c r="B44" s="752"/>
      <c r="C44" s="752"/>
      <c r="D44" s="752"/>
      <c r="E44" s="752"/>
      <c r="F44" s="753" t="s">
        <v>750</v>
      </c>
      <c r="G44" s="754"/>
      <c r="H44" s="754"/>
      <c r="I44" s="754"/>
      <c r="J44" s="755"/>
    </row>
    <row r="45" spans="1:10" s="61" customFormat="1" ht="12.75" customHeight="1" x14ac:dyDescent="0.2">
      <c r="A45" s="475" t="s">
        <v>510</v>
      </c>
      <c r="B45" s="476"/>
      <c r="C45" s="476"/>
      <c r="D45" s="476"/>
      <c r="E45" s="476"/>
      <c r="F45" s="746"/>
      <c r="G45" s="746"/>
      <c r="H45" s="746"/>
      <c r="I45" s="746"/>
      <c r="J45" s="747"/>
    </row>
    <row r="46" spans="1:10" ht="12.75" customHeight="1" x14ac:dyDescent="0.2">
      <c r="A46" s="721" t="s">
        <v>367</v>
      </c>
      <c r="B46" s="722"/>
      <c r="C46" s="722"/>
      <c r="D46" s="722"/>
      <c r="E46" s="722"/>
      <c r="F46" s="722"/>
      <c r="G46" s="722"/>
      <c r="H46" s="722"/>
      <c r="I46" s="722"/>
      <c r="J46" s="723"/>
    </row>
    <row r="47" spans="1:10" ht="12.75" customHeight="1" x14ac:dyDescent="0.2">
      <c r="A47" s="724"/>
      <c r="B47" s="725"/>
      <c r="C47" s="725"/>
      <c r="D47" s="725"/>
      <c r="E47" s="725"/>
      <c r="F47" s="725"/>
      <c r="G47" s="725"/>
      <c r="H47" s="725"/>
      <c r="I47" s="725"/>
      <c r="J47" s="726"/>
    </row>
    <row r="48" spans="1:10" ht="12.75" customHeight="1" x14ac:dyDescent="0.2">
      <c r="A48" s="724"/>
      <c r="B48" s="725"/>
      <c r="C48" s="725"/>
      <c r="D48" s="725"/>
      <c r="E48" s="725"/>
      <c r="F48" s="725"/>
      <c r="G48" s="725"/>
      <c r="H48" s="725"/>
      <c r="I48" s="725"/>
      <c r="J48" s="726"/>
    </row>
    <row r="49" spans="1:10" ht="15" customHeight="1" x14ac:dyDescent="0.2">
      <c r="A49" s="727"/>
      <c r="B49" s="728"/>
      <c r="C49" s="728"/>
      <c r="D49" s="728"/>
      <c r="E49" s="728"/>
      <c r="F49" s="728"/>
      <c r="G49" s="728"/>
      <c r="H49" s="728"/>
      <c r="I49" s="728"/>
      <c r="J49" s="729"/>
    </row>
    <row r="50" spans="1:10" ht="12.75" customHeight="1" x14ac:dyDescent="0.2">
      <c r="A50" s="742"/>
      <c r="B50" s="743"/>
      <c r="C50" s="743"/>
      <c r="D50" s="743"/>
      <c r="E50" s="743"/>
      <c r="F50" s="743"/>
      <c r="G50" s="743"/>
      <c r="H50" s="743"/>
      <c r="I50" s="743"/>
      <c r="J50" s="744"/>
    </row>
    <row r="51" spans="1:10" ht="12.75" customHeight="1" x14ac:dyDescent="0.2">
      <c r="A51" s="742"/>
      <c r="B51" s="743"/>
      <c r="C51" s="743"/>
      <c r="D51" s="743"/>
      <c r="E51" s="743"/>
      <c r="F51" s="743"/>
      <c r="G51" s="743"/>
      <c r="H51" s="743"/>
      <c r="I51" s="743"/>
      <c r="J51" s="744"/>
    </row>
    <row r="52" spans="1:10" ht="12.75" customHeight="1" x14ac:dyDescent="0.2">
      <c r="A52" s="742"/>
      <c r="B52" s="743"/>
      <c r="C52" s="743"/>
      <c r="D52" s="743"/>
      <c r="E52" s="743"/>
      <c r="F52" s="743"/>
      <c r="G52" s="743"/>
      <c r="H52" s="743"/>
      <c r="I52" s="743"/>
      <c r="J52" s="744"/>
    </row>
    <row r="53" spans="1:10" ht="12.75" customHeight="1" x14ac:dyDescent="0.2">
      <c r="A53" s="742"/>
      <c r="B53" s="743"/>
      <c r="C53" s="743"/>
      <c r="D53" s="743"/>
      <c r="E53" s="743"/>
      <c r="F53" s="743"/>
      <c r="G53" s="743"/>
      <c r="H53" s="743"/>
      <c r="I53" s="743"/>
      <c r="J53" s="744"/>
    </row>
    <row r="54" spans="1:10" ht="12.75" customHeight="1" x14ac:dyDescent="0.2">
      <c r="A54" s="742"/>
      <c r="B54" s="743"/>
      <c r="C54" s="743"/>
      <c r="D54" s="743"/>
      <c r="E54" s="743"/>
      <c r="F54" s="743"/>
      <c r="G54" s="743"/>
      <c r="H54" s="743"/>
      <c r="I54" s="743"/>
      <c r="J54" s="744"/>
    </row>
    <row r="55" spans="1:10" ht="12.75" customHeight="1" x14ac:dyDescent="0.2">
      <c r="A55" s="742"/>
      <c r="B55" s="743"/>
      <c r="C55" s="743"/>
      <c r="D55" s="743"/>
      <c r="E55" s="743"/>
      <c r="F55" s="743"/>
      <c r="G55" s="743"/>
      <c r="H55" s="743"/>
      <c r="I55" s="743"/>
      <c r="J55" s="744"/>
    </row>
    <row r="56" spans="1:10" ht="12.75" customHeight="1" x14ac:dyDescent="0.2">
      <c r="A56" s="742"/>
      <c r="B56" s="743"/>
      <c r="C56" s="743"/>
      <c r="D56" s="743"/>
      <c r="E56" s="743"/>
      <c r="F56" s="743"/>
      <c r="G56" s="743"/>
      <c r="H56" s="743"/>
      <c r="I56" s="743"/>
      <c r="J56" s="744"/>
    </row>
    <row r="57" spans="1:10" ht="12.75" customHeight="1" x14ac:dyDescent="0.2">
      <c r="A57" s="742"/>
      <c r="B57" s="743"/>
      <c r="C57" s="743"/>
      <c r="D57" s="743"/>
      <c r="E57" s="743"/>
      <c r="F57" s="743"/>
      <c r="G57" s="743"/>
      <c r="H57" s="743"/>
      <c r="I57" s="743"/>
      <c r="J57" s="744"/>
    </row>
    <row r="58" spans="1:10" ht="12.75" customHeight="1" x14ac:dyDescent="0.2">
      <c r="A58" s="742"/>
      <c r="B58" s="743"/>
      <c r="C58" s="743"/>
      <c r="D58" s="743"/>
      <c r="E58" s="743"/>
      <c r="F58" s="743"/>
      <c r="G58" s="743"/>
      <c r="H58" s="743"/>
      <c r="I58" s="743"/>
      <c r="J58" s="744"/>
    </row>
    <row r="59" spans="1:10" ht="12.75" customHeight="1" x14ac:dyDescent="0.2">
      <c r="A59" s="742"/>
      <c r="B59" s="743"/>
      <c r="C59" s="743"/>
      <c r="D59" s="743"/>
      <c r="E59" s="743"/>
      <c r="F59" s="743"/>
      <c r="G59" s="743"/>
      <c r="H59" s="743"/>
      <c r="I59" s="743"/>
      <c r="J59" s="744"/>
    </row>
    <row r="60" spans="1:10" ht="12.75" customHeight="1" x14ac:dyDescent="0.2">
      <c r="A60" s="742"/>
      <c r="B60" s="743"/>
      <c r="C60" s="743"/>
      <c r="D60" s="743"/>
      <c r="E60" s="743"/>
      <c r="F60" s="743"/>
      <c r="G60" s="743"/>
      <c r="H60" s="743"/>
      <c r="I60" s="743"/>
      <c r="J60" s="744"/>
    </row>
    <row r="61" spans="1:10" ht="12.75" customHeight="1" x14ac:dyDescent="0.2">
      <c r="A61" s="742"/>
      <c r="B61" s="743"/>
      <c r="C61" s="743"/>
      <c r="D61" s="743"/>
      <c r="E61" s="743"/>
      <c r="F61" s="743"/>
      <c r="G61" s="743"/>
      <c r="H61" s="743"/>
      <c r="I61" s="743"/>
      <c r="J61" s="744"/>
    </row>
    <row r="62" spans="1:10" ht="12.75" customHeight="1" x14ac:dyDescent="0.2">
      <c r="A62" s="742"/>
      <c r="B62" s="743"/>
      <c r="C62" s="743"/>
      <c r="D62" s="743"/>
      <c r="E62" s="743"/>
      <c r="F62" s="743"/>
      <c r="G62" s="743"/>
      <c r="H62" s="743"/>
      <c r="I62" s="743"/>
      <c r="J62" s="744"/>
    </row>
    <row r="63" spans="1:10" ht="12.75" customHeight="1" x14ac:dyDescent="0.2">
      <c r="A63" s="742"/>
      <c r="B63" s="743"/>
      <c r="C63" s="743"/>
      <c r="D63" s="743"/>
      <c r="E63" s="743"/>
      <c r="F63" s="743"/>
      <c r="G63" s="743"/>
      <c r="H63" s="743"/>
      <c r="I63" s="743"/>
      <c r="J63" s="744"/>
    </row>
    <row r="64" spans="1:10" ht="12.75" customHeight="1" x14ac:dyDescent="0.2">
      <c r="A64" s="742"/>
      <c r="B64" s="743"/>
      <c r="C64" s="743"/>
      <c r="D64" s="743"/>
      <c r="E64" s="743"/>
      <c r="F64" s="743"/>
      <c r="G64" s="743"/>
      <c r="H64" s="743"/>
      <c r="I64" s="743"/>
      <c r="J64" s="744"/>
    </row>
    <row r="65" spans="1:10" ht="12.75" customHeight="1" x14ac:dyDescent="0.2">
      <c r="A65" s="742"/>
      <c r="B65" s="743"/>
      <c r="C65" s="743"/>
      <c r="D65" s="743"/>
      <c r="E65" s="743"/>
      <c r="F65" s="743"/>
      <c r="G65" s="743"/>
      <c r="H65" s="743"/>
      <c r="I65" s="743"/>
      <c r="J65" s="744"/>
    </row>
    <row r="66" spans="1:10" ht="12.75" customHeight="1" x14ac:dyDescent="0.2">
      <c r="A66" s="742"/>
      <c r="B66" s="743"/>
      <c r="C66" s="743"/>
      <c r="D66" s="743"/>
      <c r="E66" s="743"/>
      <c r="F66" s="743"/>
      <c r="G66" s="743"/>
      <c r="H66" s="743"/>
      <c r="I66" s="743"/>
      <c r="J66" s="744"/>
    </row>
    <row r="67" spans="1:10" ht="12.75" customHeight="1" x14ac:dyDescent="0.2">
      <c r="A67" s="742"/>
      <c r="B67" s="743"/>
      <c r="C67" s="743"/>
      <c r="D67" s="743"/>
      <c r="E67" s="743"/>
      <c r="F67" s="743"/>
      <c r="G67" s="743"/>
      <c r="H67" s="743"/>
      <c r="I67" s="743"/>
      <c r="J67" s="744"/>
    </row>
    <row r="68" spans="1:10" ht="12.75" customHeight="1" x14ac:dyDescent="0.2">
      <c r="A68" s="742"/>
      <c r="B68" s="743"/>
      <c r="C68" s="743"/>
      <c r="D68" s="743"/>
      <c r="E68" s="743"/>
      <c r="F68" s="743"/>
      <c r="G68" s="743"/>
      <c r="H68" s="743"/>
      <c r="I68" s="743"/>
      <c r="J68" s="744"/>
    </row>
    <row r="69" spans="1:10" ht="12.75" customHeight="1" x14ac:dyDescent="0.2">
      <c r="A69" s="742"/>
      <c r="B69" s="743"/>
      <c r="C69" s="743"/>
      <c r="D69" s="743"/>
      <c r="E69" s="743"/>
      <c r="F69" s="743"/>
      <c r="G69" s="743"/>
      <c r="H69" s="743"/>
      <c r="I69" s="743"/>
      <c r="J69" s="744"/>
    </row>
    <row r="70" spans="1:10" ht="12.75" customHeight="1" x14ac:dyDescent="0.2">
      <c r="A70" s="742"/>
      <c r="B70" s="743"/>
      <c r="C70" s="743"/>
      <c r="D70" s="743"/>
      <c r="E70" s="743"/>
      <c r="F70" s="743"/>
      <c r="G70" s="743"/>
      <c r="H70" s="743"/>
      <c r="I70" s="743"/>
      <c r="J70" s="744"/>
    </row>
    <row r="71" spans="1:10" ht="12.75" customHeight="1" x14ac:dyDescent="0.2">
      <c r="A71" s="742"/>
      <c r="B71" s="743"/>
      <c r="C71" s="743"/>
      <c r="D71" s="743"/>
      <c r="E71" s="743"/>
      <c r="F71" s="743"/>
      <c r="G71" s="743"/>
      <c r="H71" s="743"/>
      <c r="I71" s="743"/>
      <c r="J71" s="744"/>
    </row>
    <row r="72" spans="1:10" ht="12.75" customHeight="1" x14ac:dyDescent="0.2">
      <c r="A72" s="742"/>
      <c r="B72" s="743"/>
      <c r="C72" s="743"/>
      <c r="D72" s="743"/>
      <c r="E72" s="743"/>
      <c r="F72" s="743"/>
      <c r="G72" s="743"/>
      <c r="H72" s="743"/>
      <c r="I72" s="743"/>
      <c r="J72" s="744"/>
    </row>
    <row r="73" spans="1:10" ht="12.75" customHeight="1" x14ac:dyDescent="0.2">
      <c r="A73" s="742"/>
      <c r="B73" s="743"/>
      <c r="C73" s="743"/>
      <c r="D73" s="743"/>
      <c r="E73" s="743"/>
      <c r="F73" s="743"/>
      <c r="G73" s="743"/>
      <c r="H73" s="743"/>
      <c r="I73" s="743"/>
      <c r="J73" s="744"/>
    </row>
    <row r="74" spans="1:10" ht="12.75" customHeight="1" x14ac:dyDescent="0.2">
      <c r="A74" s="742"/>
      <c r="B74" s="743"/>
      <c r="C74" s="743"/>
      <c r="D74" s="743"/>
      <c r="E74" s="743"/>
      <c r="F74" s="743"/>
      <c r="G74" s="743"/>
      <c r="H74" s="743"/>
      <c r="I74" s="743"/>
      <c r="J74" s="744"/>
    </row>
    <row r="75" spans="1:10" ht="12.75" customHeight="1" x14ac:dyDescent="0.2">
      <c r="A75" s="742"/>
      <c r="B75" s="743"/>
      <c r="C75" s="743"/>
      <c r="D75" s="743"/>
      <c r="E75" s="743"/>
      <c r="F75" s="743"/>
      <c r="G75" s="743"/>
      <c r="H75" s="743"/>
      <c r="I75" s="743"/>
      <c r="J75" s="744"/>
    </row>
    <row r="76" spans="1:10" ht="12.75" customHeight="1" x14ac:dyDescent="0.2">
      <c r="A76" s="742"/>
      <c r="B76" s="743"/>
      <c r="C76" s="743"/>
      <c r="D76" s="743"/>
      <c r="E76" s="743"/>
      <c r="F76" s="743"/>
      <c r="G76" s="743"/>
      <c r="H76" s="743"/>
      <c r="I76" s="743"/>
      <c r="J76" s="744"/>
    </row>
    <row r="77" spans="1:10" ht="12.75" customHeight="1" x14ac:dyDescent="0.2">
      <c r="A77" s="742"/>
      <c r="B77" s="743"/>
      <c r="C77" s="743"/>
      <c r="D77" s="743"/>
      <c r="E77" s="743"/>
      <c r="F77" s="743"/>
      <c r="G77" s="743"/>
      <c r="H77" s="743"/>
      <c r="I77" s="743"/>
      <c r="J77" s="744"/>
    </row>
    <row r="78" spans="1:10" ht="12.75" customHeight="1" x14ac:dyDescent="0.2">
      <c r="A78" s="742"/>
      <c r="B78" s="743"/>
      <c r="C78" s="743"/>
      <c r="D78" s="743"/>
      <c r="E78" s="743"/>
      <c r="F78" s="743"/>
      <c r="G78" s="743"/>
      <c r="H78" s="743"/>
      <c r="I78" s="743"/>
      <c r="J78" s="744"/>
    </row>
    <row r="79" spans="1:10" ht="12.75" customHeight="1" x14ac:dyDescent="0.2">
      <c r="A79" s="742"/>
      <c r="B79" s="743"/>
      <c r="C79" s="743"/>
      <c r="D79" s="743"/>
      <c r="E79" s="743"/>
      <c r="F79" s="743"/>
      <c r="G79" s="743"/>
      <c r="H79" s="743"/>
      <c r="I79" s="743"/>
      <c r="J79" s="744"/>
    </row>
    <row r="80" spans="1:10" ht="12.75" customHeight="1" x14ac:dyDescent="0.2">
      <c r="A80" s="742"/>
      <c r="B80" s="743"/>
      <c r="C80" s="743"/>
      <c r="D80" s="743"/>
      <c r="E80" s="743"/>
      <c r="F80" s="743"/>
      <c r="G80" s="743"/>
      <c r="H80" s="743"/>
      <c r="I80" s="743"/>
      <c r="J80" s="744"/>
    </row>
    <row r="81" spans="1:10" ht="12.75" customHeight="1" x14ac:dyDescent="0.2">
      <c r="A81" s="742"/>
      <c r="B81" s="743"/>
      <c r="C81" s="743"/>
      <c r="D81" s="743"/>
      <c r="E81" s="743"/>
      <c r="F81" s="743"/>
      <c r="G81" s="743"/>
      <c r="H81" s="743"/>
      <c r="I81" s="743"/>
      <c r="J81" s="744"/>
    </row>
    <row r="82" spans="1:10" ht="12.75" customHeight="1" x14ac:dyDescent="0.2">
      <c r="A82" s="742"/>
      <c r="B82" s="743"/>
      <c r="C82" s="743"/>
      <c r="D82" s="743"/>
      <c r="E82" s="743"/>
      <c r="F82" s="743"/>
      <c r="G82" s="743"/>
      <c r="H82" s="743"/>
      <c r="I82" s="743"/>
      <c r="J82" s="744"/>
    </row>
    <row r="83" spans="1:10" ht="12.75" customHeight="1" x14ac:dyDescent="0.2">
      <c r="A83" s="742"/>
      <c r="B83" s="743"/>
      <c r="C83" s="743"/>
      <c r="D83" s="743"/>
      <c r="E83" s="743"/>
      <c r="F83" s="743"/>
      <c r="G83" s="743"/>
      <c r="H83" s="743"/>
      <c r="I83" s="743"/>
      <c r="J83" s="744"/>
    </row>
    <row r="84" spans="1:10" ht="12.75" customHeight="1" x14ac:dyDescent="0.2">
      <c r="A84" s="742"/>
      <c r="B84" s="743"/>
      <c r="C84" s="743"/>
      <c r="D84" s="743"/>
      <c r="E84" s="743"/>
      <c r="F84" s="743"/>
      <c r="G84" s="743"/>
      <c r="H84" s="743"/>
      <c r="I84" s="743"/>
      <c r="J84" s="744"/>
    </row>
    <row r="85" spans="1:10" s="61" customFormat="1" x14ac:dyDescent="0.2">
      <c r="A85" s="55"/>
      <c r="B85" s="56"/>
      <c r="C85" s="57"/>
      <c r="D85" s="58"/>
      <c r="E85" s="58"/>
      <c r="F85" s="58"/>
      <c r="G85" s="58"/>
      <c r="H85" s="59"/>
      <c r="I85" s="57"/>
      <c r="J85" s="60"/>
    </row>
    <row r="86" spans="1:10" s="61" customFormat="1" ht="25.5" customHeight="1" x14ac:dyDescent="0.2">
      <c r="A86" s="751" t="s">
        <v>202</v>
      </c>
      <c r="B86" s="752"/>
      <c r="C86" s="752"/>
      <c r="D86" s="752"/>
      <c r="E86" s="752"/>
      <c r="F86" s="753"/>
      <c r="G86" s="754"/>
      <c r="H86" s="754"/>
      <c r="I86" s="754"/>
      <c r="J86" s="755"/>
    </row>
    <row r="87" spans="1:10" s="61" customFormat="1" ht="12.75" customHeight="1" x14ac:dyDescent="0.2">
      <c r="A87" s="475" t="s">
        <v>510</v>
      </c>
      <c r="B87" s="476"/>
      <c r="C87" s="476"/>
      <c r="D87" s="476"/>
      <c r="E87" s="476"/>
      <c r="F87" s="746"/>
      <c r="G87" s="746"/>
      <c r="H87" s="746"/>
      <c r="I87" s="746"/>
      <c r="J87" s="747"/>
    </row>
    <row r="88" spans="1:10" ht="12.75" customHeight="1" x14ac:dyDescent="0.2">
      <c r="A88" s="721" t="s">
        <v>367</v>
      </c>
      <c r="B88" s="722"/>
      <c r="C88" s="722"/>
      <c r="D88" s="722"/>
      <c r="E88" s="722"/>
      <c r="F88" s="722"/>
      <c r="G88" s="722"/>
      <c r="H88" s="722"/>
      <c r="I88" s="722"/>
      <c r="J88" s="723"/>
    </row>
    <row r="89" spans="1:10" ht="12.75" customHeight="1" x14ac:dyDescent="0.2">
      <c r="A89" s="724"/>
      <c r="B89" s="725"/>
      <c r="C89" s="725"/>
      <c r="D89" s="725"/>
      <c r="E89" s="725"/>
      <c r="F89" s="725"/>
      <c r="G89" s="725"/>
      <c r="H89" s="725"/>
      <c r="I89" s="725"/>
      <c r="J89" s="726"/>
    </row>
    <row r="90" spans="1:10" ht="12.75" customHeight="1" x14ac:dyDescent="0.2">
      <c r="A90" s="724"/>
      <c r="B90" s="725"/>
      <c r="C90" s="725"/>
      <c r="D90" s="725"/>
      <c r="E90" s="725"/>
      <c r="F90" s="725"/>
      <c r="G90" s="725"/>
      <c r="H90" s="725"/>
      <c r="I90" s="725"/>
      <c r="J90" s="726"/>
    </row>
    <row r="91" spans="1:10" ht="15" customHeight="1" x14ac:dyDescent="0.2">
      <c r="A91" s="727"/>
      <c r="B91" s="728"/>
      <c r="C91" s="728"/>
      <c r="D91" s="728"/>
      <c r="E91" s="728"/>
      <c r="F91" s="728"/>
      <c r="G91" s="728"/>
      <c r="H91" s="728"/>
      <c r="I91" s="728"/>
      <c r="J91" s="729"/>
    </row>
    <row r="92" spans="1:10" ht="12.75" customHeight="1" x14ac:dyDescent="0.2">
      <c r="A92" s="742"/>
      <c r="B92" s="743"/>
      <c r="C92" s="743"/>
      <c r="D92" s="743"/>
      <c r="E92" s="743"/>
      <c r="F92" s="743"/>
      <c r="G92" s="743"/>
      <c r="H92" s="743"/>
      <c r="I92" s="743"/>
      <c r="J92" s="744"/>
    </row>
    <row r="93" spans="1:10" ht="12.75" customHeight="1" x14ac:dyDescent="0.2">
      <c r="A93" s="742"/>
      <c r="B93" s="743"/>
      <c r="C93" s="743"/>
      <c r="D93" s="743"/>
      <c r="E93" s="743"/>
      <c r="F93" s="743"/>
      <c r="G93" s="743"/>
      <c r="H93" s="743"/>
      <c r="I93" s="743"/>
      <c r="J93" s="744"/>
    </row>
    <row r="94" spans="1:10" ht="12.75" customHeight="1" x14ac:dyDescent="0.2">
      <c r="A94" s="742"/>
      <c r="B94" s="743"/>
      <c r="C94" s="743"/>
      <c r="D94" s="743"/>
      <c r="E94" s="743"/>
      <c r="F94" s="743"/>
      <c r="G94" s="743"/>
      <c r="H94" s="743"/>
      <c r="I94" s="743"/>
      <c r="J94" s="744"/>
    </row>
    <row r="95" spans="1:10" ht="12.75" customHeight="1" x14ac:dyDescent="0.2">
      <c r="A95" s="742"/>
      <c r="B95" s="743"/>
      <c r="C95" s="743"/>
      <c r="D95" s="743"/>
      <c r="E95" s="743"/>
      <c r="F95" s="743"/>
      <c r="G95" s="743"/>
      <c r="H95" s="743"/>
      <c r="I95" s="743"/>
      <c r="J95" s="744"/>
    </row>
    <row r="96" spans="1:10" ht="12.75" customHeight="1" x14ac:dyDescent="0.2">
      <c r="A96" s="742"/>
      <c r="B96" s="743"/>
      <c r="C96" s="743"/>
      <c r="D96" s="743"/>
      <c r="E96" s="743"/>
      <c r="F96" s="743"/>
      <c r="G96" s="743"/>
      <c r="H96" s="743"/>
      <c r="I96" s="743"/>
      <c r="J96" s="744"/>
    </row>
    <row r="97" spans="1:10" ht="12.75" customHeight="1" x14ac:dyDescent="0.2">
      <c r="A97" s="742"/>
      <c r="B97" s="743"/>
      <c r="C97" s="743"/>
      <c r="D97" s="743"/>
      <c r="E97" s="743"/>
      <c r="F97" s="743"/>
      <c r="G97" s="743"/>
      <c r="H97" s="743"/>
      <c r="I97" s="743"/>
      <c r="J97" s="744"/>
    </row>
    <row r="98" spans="1:10" ht="12.75" customHeight="1" x14ac:dyDescent="0.2">
      <c r="A98" s="742"/>
      <c r="B98" s="743"/>
      <c r="C98" s="743"/>
      <c r="D98" s="743"/>
      <c r="E98" s="743"/>
      <c r="F98" s="743"/>
      <c r="G98" s="743"/>
      <c r="H98" s="743"/>
      <c r="I98" s="743"/>
      <c r="J98" s="744"/>
    </row>
    <row r="99" spans="1:10" ht="12.75" customHeight="1" x14ac:dyDescent="0.2">
      <c r="A99" s="742"/>
      <c r="B99" s="743"/>
      <c r="C99" s="743"/>
      <c r="D99" s="743"/>
      <c r="E99" s="743"/>
      <c r="F99" s="743"/>
      <c r="G99" s="743"/>
      <c r="H99" s="743"/>
      <c r="I99" s="743"/>
      <c r="J99" s="744"/>
    </row>
    <row r="100" spans="1:10" ht="12.75" customHeight="1" x14ac:dyDescent="0.2">
      <c r="A100" s="742"/>
      <c r="B100" s="743"/>
      <c r="C100" s="743"/>
      <c r="D100" s="743"/>
      <c r="E100" s="743"/>
      <c r="F100" s="743"/>
      <c r="G100" s="743"/>
      <c r="H100" s="743"/>
      <c r="I100" s="743"/>
      <c r="J100" s="744"/>
    </row>
    <row r="101" spans="1:10" ht="12.75" customHeight="1" x14ac:dyDescent="0.2">
      <c r="A101" s="742"/>
      <c r="B101" s="743"/>
      <c r="C101" s="743"/>
      <c r="D101" s="743"/>
      <c r="E101" s="743"/>
      <c r="F101" s="743"/>
      <c r="G101" s="743"/>
      <c r="H101" s="743"/>
      <c r="I101" s="743"/>
      <c r="J101" s="744"/>
    </row>
    <row r="102" spans="1:10" ht="12.75" customHeight="1" x14ac:dyDescent="0.2">
      <c r="A102" s="742"/>
      <c r="B102" s="743"/>
      <c r="C102" s="743"/>
      <c r="D102" s="743"/>
      <c r="E102" s="743"/>
      <c r="F102" s="743"/>
      <c r="G102" s="743"/>
      <c r="H102" s="743"/>
      <c r="I102" s="743"/>
      <c r="J102" s="744"/>
    </row>
    <row r="103" spans="1:10" ht="12.75" customHeight="1" x14ac:dyDescent="0.2">
      <c r="A103" s="742"/>
      <c r="B103" s="743"/>
      <c r="C103" s="743"/>
      <c r="D103" s="743"/>
      <c r="E103" s="743"/>
      <c r="F103" s="743"/>
      <c r="G103" s="743"/>
      <c r="H103" s="743"/>
      <c r="I103" s="743"/>
      <c r="J103" s="744"/>
    </row>
    <row r="104" spans="1:10" ht="12.75" customHeight="1" x14ac:dyDescent="0.2">
      <c r="A104" s="742"/>
      <c r="B104" s="743"/>
      <c r="C104" s="743"/>
      <c r="D104" s="743"/>
      <c r="E104" s="743"/>
      <c r="F104" s="743"/>
      <c r="G104" s="743"/>
      <c r="H104" s="743"/>
      <c r="I104" s="743"/>
      <c r="J104" s="744"/>
    </row>
    <row r="105" spans="1:10" ht="12.75" customHeight="1" x14ac:dyDescent="0.2">
      <c r="A105" s="742"/>
      <c r="B105" s="743"/>
      <c r="C105" s="743"/>
      <c r="D105" s="743"/>
      <c r="E105" s="743"/>
      <c r="F105" s="743"/>
      <c r="G105" s="743"/>
      <c r="H105" s="743"/>
      <c r="I105" s="743"/>
      <c r="J105" s="744"/>
    </row>
    <row r="106" spans="1:10" ht="12.75" customHeight="1" x14ac:dyDescent="0.2">
      <c r="A106" s="742"/>
      <c r="B106" s="743"/>
      <c r="C106" s="743"/>
      <c r="D106" s="743"/>
      <c r="E106" s="743"/>
      <c r="F106" s="743"/>
      <c r="G106" s="743"/>
      <c r="H106" s="743"/>
      <c r="I106" s="743"/>
      <c r="J106" s="744"/>
    </row>
    <row r="107" spans="1:10" ht="12.75" customHeight="1" x14ac:dyDescent="0.2">
      <c r="A107" s="742"/>
      <c r="B107" s="743"/>
      <c r="C107" s="743"/>
      <c r="D107" s="743"/>
      <c r="E107" s="743"/>
      <c r="F107" s="743"/>
      <c r="G107" s="743"/>
      <c r="H107" s="743"/>
      <c r="I107" s="743"/>
      <c r="J107" s="744"/>
    </row>
    <row r="108" spans="1:10" ht="12.75" customHeight="1" x14ac:dyDescent="0.2">
      <c r="A108" s="742"/>
      <c r="B108" s="743"/>
      <c r="C108" s="743"/>
      <c r="D108" s="743"/>
      <c r="E108" s="743"/>
      <c r="F108" s="743"/>
      <c r="G108" s="743"/>
      <c r="H108" s="743"/>
      <c r="I108" s="743"/>
      <c r="J108" s="744"/>
    </row>
    <row r="109" spans="1:10" ht="12.75" customHeight="1" x14ac:dyDescent="0.2">
      <c r="A109" s="742"/>
      <c r="B109" s="743"/>
      <c r="C109" s="743"/>
      <c r="D109" s="743"/>
      <c r="E109" s="743"/>
      <c r="F109" s="743"/>
      <c r="G109" s="743"/>
      <c r="H109" s="743"/>
      <c r="I109" s="743"/>
      <c r="J109" s="744"/>
    </row>
    <row r="110" spans="1:10" ht="12.75" customHeight="1" x14ac:dyDescent="0.2">
      <c r="A110" s="742"/>
      <c r="B110" s="743"/>
      <c r="C110" s="743"/>
      <c r="D110" s="743"/>
      <c r="E110" s="743"/>
      <c r="F110" s="743"/>
      <c r="G110" s="743"/>
      <c r="H110" s="743"/>
      <c r="I110" s="743"/>
      <c r="J110" s="744"/>
    </row>
    <row r="111" spans="1:10" ht="12.75" customHeight="1" x14ac:dyDescent="0.2">
      <c r="A111" s="742"/>
      <c r="B111" s="743"/>
      <c r="C111" s="743"/>
      <c r="D111" s="743"/>
      <c r="E111" s="743"/>
      <c r="F111" s="743"/>
      <c r="G111" s="743"/>
      <c r="H111" s="743"/>
      <c r="I111" s="743"/>
      <c r="J111" s="744"/>
    </row>
    <row r="112" spans="1:10" ht="12.75" customHeight="1" x14ac:dyDescent="0.2">
      <c r="A112" s="742"/>
      <c r="B112" s="743"/>
      <c r="C112" s="743"/>
      <c r="D112" s="743"/>
      <c r="E112" s="743"/>
      <c r="F112" s="743"/>
      <c r="G112" s="743"/>
      <c r="H112" s="743"/>
      <c r="I112" s="743"/>
      <c r="J112" s="744"/>
    </row>
    <row r="113" spans="1:10" ht="12.75" customHeight="1" x14ac:dyDescent="0.2">
      <c r="A113" s="742"/>
      <c r="B113" s="743"/>
      <c r="C113" s="743"/>
      <c r="D113" s="743"/>
      <c r="E113" s="743"/>
      <c r="F113" s="743"/>
      <c r="G113" s="743"/>
      <c r="H113" s="743"/>
      <c r="I113" s="743"/>
      <c r="J113" s="744"/>
    </row>
    <row r="114" spans="1:10" ht="12.75" customHeight="1" x14ac:dyDescent="0.2">
      <c r="A114" s="742"/>
      <c r="B114" s="743"/>
      <c r="C114" s="743"/>
      <c r="D114" s="743"/>
      <c r="E114" s="743"/>
      <c r="F114" s="743"/>
      <c r="G114" s="743"/>
      <c r="H114" s="743"/>
      <c r="I114" s="743"/>
      <c r="J114" s="744"/>
    </row>
    <row r="115" spans="1:10" ht="12.75" customHeight="1" x14ac:dyDescent="0.2">
      <c r="A115" s="742"/>
      <c r="B115" s="743"/>
      <c r="C115" s="743"/>
      <c r="D115" s="743"/>
      <c r="E115" s="743"/>
      <c r="F115" s="743"/>
      <c r="G115" s="743"/>
      <c r="H115" s="743"/>
      <c r="I115" s="743"/>
      <c r="J115" s="744"/>
    </row>
    <row r="116" spans="1:10" ht="12.75" customHeight="1" x14ac:dyDescent="0.2">
      <c r="A116" s="742"/>
      <c r="B116" s="743"/>
      <c r="C116" s="743"/>
      <c r="D116" s="743"/>
      <c r="E116" s="743"/>
      <c r="F116" s="743"/>
      <c r="G116" s="743"/>
      <c r="H116" s="743"/>
      <c r="I116" s="743"/>
      <c r="J116" s="744"/>
    </row>
    <row r="117" spans="1:10" ht="12.75" customHeight="1" x14ac:dyDescent="0.2">
      <c r="A117" s="742"/>
      <c r="B117" s="743"/>
      <c r="C117" s="743"/>
      <c r="D117" s="743"/>
      <c r="E117" s="743"/>
      <c r="F117" s="743"/>
      <c r="G117" s="743"/>
      <c r="H117" s="743"/>
      <c r="I117" s="743"/>
      <c r="J117" s="744"/>
    </row>
    <row r="118" spans="1:10" ht="12.75" customHeight="1" x14ac:dyDescent="0.2">
      <c r="A118" s="742"/>
      <c r="B118" s="743"/>
      <c r="C118" s="743"/>
      <c r="D118" s="743"/>
      <c r="E118" s="743"/>
      <c r="F118" s="743"/>
      <c r="G118" s="743"/>
      <c r="H118" s="743"/>
      <c r="I118" s="743"/>
      <c r="J118" s="744"/>
    </row>
    <row r="119" spans="1:10" ht="12.75" customHeight="1" x14ac:dyDescent="0.2">
      <c r="A119" s="742"/>
      <c r="B119" s="743"/>
      <c r="C119" s="743"/>
      <c r="D119" s="743"/>
      <c r="E119" s="743"/>
      <c r="F119" s="743"/>
      <c r="G119" s="743"/>
      <c r="H119" s="743"/>
      <c r="I119" s="743"/>
      <c r="J119" s="744"/>
    </row>
    <row r="120" spans="1:10" ht="12.75" customHeight="1" x14ac:dyDescent="0.2">
      <c r="A120" s="742"/>
      <c r="B120" s="743"/>
      <c r="C120" s="743"/>
      <c r="D120" s="743"/>
      <c r="E120" s="743"/>
      <c r="F120" s="743"/>
      <c r="G120" s="743"/>
      <c r="H120" s="743"/>
      <c r="I120" s="743"/>
      <c r="J120" s="744"/>
    </row>
    <row r="121" spans="1:10" ht="12.75" customHeight="1" x14ac:dyDescent="0.2">
      <c r="A121" s="742"/>
      <c r="B121" s="743"/>
      <c r="C121" s="743"/>
      <c r="D121" s="743"/>
      <c r="E121" s="743"/>
      <c r="F121" s="743"/>
      <c r="G121" s="743"/>
      <c r="H121" s="743"/>
      <c r="I121" s="743"/>
      <c r="J121" s="744"/>
    </row>
    <row r="122" spans="1:10" ht="12.75" customHeight="1" x14ac:dyDescent="0.2">
      <c r="A122" s="742"/>
      <c r="B122" s="743"/>
      <c r="C122" s="743"/>
      <c r="D122" s="743"/>
      <c r="E122" s="743"/>
      <c r="F122" s="743"/>
      <c r="G122" s="743"/>
      <c r="H122" s="743"/>
      <c r="I122" s="743"/>
      <c r="J122" s="744"/>
    </row>
    <row r="123" spans="1:10" ht="12.75" customHeight="1" x14ac:dyDescent="0.2">
      <c r="A123" s="742"/>
      <c r="B123" s="743"/>
      <c r="C123" s="743"/>
      <c r="D123" s="743"/>
      <c r="E123" s="743"/>
      <c r="F123" s="743"/>
      <c r="G123" s="743"/>
      <c r="H123" s="743"/>
      <c r="I123" s="743"/>
      <c r="J123" s="744"/>
    </row>
    <row r="124" spans="1:10" ht="12.75" customHeight="1" x14ac:dyDescent="0.2">
      <c r="A124" s="742"/>
      <c r="B124" s="743"/>
      <c r="C124" s="743"/>
      <c r="D124" s="743"/>
      <c r="E124" s="743"/>
      <c r="F124" s="743"/>
      <c r="G124" s="743"/>
      <c r="H124" s="743"/>
      <c r="I124" s="743"/>
      <c r="J124" s="744"/>
    </row>
    <row r="125" spans="1:10" ht="12.75" customHeight="1" x14ac:dyDescent="0.2">
      <c r="A125" s="742"/>
      <c r="B125" s="743"/>
      <c r="C125" s="743"/>
      <c r="D125" s="743"/>
      <c r="E125" s="743"/>
      <c r="F125" s="743"/>
      <c r="G125" s="743"/>
      <c r="H125" s="743"/>
      <c r="I125" s="743"/>
      <c r="J125" s="744"/>
    </row>
    <row r="126" spans="1:10" ht="12.75" customHeight="1" x14ac:dyDescent="0.2">
      <c r="A126" s="742"/>
      <c r="B126" s="743"/>
      <c r="C126" s="743"/>
      <c r="D126" s="743"/>
      <c r="E126" s="743"/>
      <c r="F126" s="743"/>
      <c r="G126" s="743"/>
      <c r="H126" s="743"/>
      <c r="I126" s="743"/>
      <c r="J126" s="744"/>
    </row>
    <row r="127" spans="1:10" s="61" customFormat="1" x14ac:dyDescent="0.2">
      <c r="A127" s="55"/>
      <c r="B127" s="56"/>
      <c r="C127" s="57"/>
      <c r="D127" s="58"/>
      <c r="E127" s="58"/>
      <c r="F127" s="58"/>
      <c r="G127" s="58"/>
      <c r="H127" s="59"/>
      <c r="I127" s="57"/>
      <c r="J127" s="60"/>
    </row>
    <row r="128" spans="1:10" s="61" customFormat="1" ht="25.5" customHeight="1" x14ac:dyDescent="0.2">
      <c r="A128" s="751" t="s">
        <v>201</v>
      </c>
      <c r="B128" s="752"/>
      <c r="C128" s="752"/>
      <c r="D128" s="752"/>
      <c r="E128" s="752"/>
      <c r="F128" s="753"/>
      <c r="G128" s="754"/>
      <c r="H128" s="754"/>
      <c r="I128" s="754"/>
      <c r="J128" s="755"/>
    </row>
    <row r="129" spans="1:10" s="61" customFormat="1" ht="12.75" customHeight="1" x14ac:dyDescent="0.2">
      <c r="A129" s="475" t="s">
        <v>510</v>
      </c>
      <c r="B129" s="476"/>
      <c r="C129" s="476"/>
      <c r="D129" s="476"/>
      <c r="E129" s="476"/>
      <c r="F129" s="746"/>
      <c r="G129" s="746"/>
      <c r="H129" s="746"/>
      <c r="I129" s="746"/>
      <c r="J129" s="747"/>
    </row>
    <row r="130" spans="1:10" ht="12.75" customHeight="1" x14ac:dyDescent="0.2">
      <c r="A130" s="721" t="s">
        <v>367</v>
      </c>
      <c r="B130" s="722"/>
      <c r="C130" s="722"/>
      <c r="D130" s="722"/>
      <c r="E130" s="722"/>
      <c r="F130" s="722"/>
      <c r="G130" s="722"/>
      <c r="H130" s="722"/>
      <c r="I130" s="722"/>
      <c r="J130" s="723"/>
    </row>
    <row r="131" spans="1:10" ht="12.75" customHeight="1" x14ac:dyDescent="0.2">
      <c r="A131" s="724"/>
      <c r="B131" s="725"/>
      <c r="C131" s="725"/>
      <c r="D131" s="725"/>
      <c r="E131" s="725"/>
      <c r="F131" s="725"/>
      <c r="G131" s="725"/>
      <c r="H131" s="725"/>
      <c r="I131" s="725"/>
      <c r="J131" s="726"/>
    </row>
    <row r="132" spans="1:10" ht="12.75" customHeight="1" x14ac:dyDescent="0.2">
      <c r="A132" s="724"/>
      <c r="B132" s="725"/>
      <c r="C132" s="725"/>
      <c r="D132" s="725"/>
      <c r="E132" s="725"/>
      <c r="F132" s="725"/>
      <c r="G132" s="725"/>
      <c r="H132" s="725"/>
      <c r="I132" s="725"/>
      <c r="J132" s="726"/>
    </row>
    <row r="133" spans="1:10" ht="15" customHeight="1" x14ac:dyDescent="0.2">
      <c r="A133" s="727"/>
      <c r="B133" s="728"/>
      <c r="C133" s="728"/>
      <c r="D133" s="728"/>
      <c r="E133" s="728"/>
      <c r="F133" s="728"/>
      <c r="G133" s="728"/>
      <c r="H133" s="728"/>
      <c r="I133" s="728"/>
      <c r="J133" s="729"/>
    </row>
    <row r="134" spans="1:10" ht="12.75" customHeight="1" x14ac:dyDescent="0.2">
      <c r="A134" s="742"/>
      <c r="B134" s="743"/>
      <c r="C134" s="743"/>
      <c r="D134" s="743"/>
      <c r="E134" s="743"/>
      <c r="F134" s="743"/>
      <c r="G134" s="743"/>
      <c r="H134" s="743"/>
      <c r="I134" s="743"/>
      <c r="J134" s="744"/>
    </row>
    <row r="135" spans="1:10" ht="12.75" customHeight="1" x14ac:dyDescent="0.2">
      <c r="A135" s="742"/>
      <c r="B135" s="743"/>
      <c r="C135" s="743"/>
      <c r="D135" s="743"/>
      <c r="E135" s="743"/>
      <c r="F135" s="743"/>
      <c r="G135" s="743"/>
      <c r="H135" s="743"/>
      <c r="I135" s="743"/>
      <c r="J135" s="744"/>
    </row>
    <row r="136" spans="1:10" ht="12.75" customHeight="1" x14ac:dyDescent="0.2">
      <c r="A136" s="742"/>
      <c r="B136" s="743"/>
      <c r="C136" s="743"/>
      <c r="D136" s="743"/>
      <c r="E136" s="743"/>
      <c r="F136" s="743"/>
      <c r="G136" s="743"/>
      <c r="H136" s="743"/>
      <c r="I136" s="743"/>
      <c r="J136" s="744"/>
    </row>
    <row r="137" spans="1:10" ht="12.75" customHeight="1" x14ac:dyDescent="0.2">
      <c r="A137" s="742"/>
      <c r="B137" s="743"/>
      <c r="C137" s="743"/>
      <c r="D137" s="743"/>
      <c r="E137" s="743"/>
      <c r="F137" s="743"/>
      <c r="G137" s="743"/>
      <c r="H137" s="743"/>
      <c r="I137" s="743"/>
      <c r="J137" s="744"/>
    </row>
    <row r="138" spans="1:10" ht="12.75" customHeight="1" x14ac:dyDescent="0.2">
      <c r="A138" s="742"/>
      <c r="B138" s="743"/>
      <c r="C138" s="743"/>
      <c r="D138" s="743"/>
      <c r="E138" s="743"/>
      <c r="F138" s="743"/>
      <c r="G138" s="743"/>
      <c r="H138" s="743"/>
      <c r="I138" s="743"/>
      <c r="J138" s="744"/>
    </row>
    <row r="139" spans="1:10" ht="12.75" customHeight="1" x14ac:dyDescent="0.2">
      <c r="A139" s="742"/>
      <c r="B139" s="743"/>
      <c r="C139" s="743"/>
      <c r="D139" s="743"/>
      <c r="E139" s="743"/>
      <c r="F139" s="743"/>
      <c r="G139" s="743"/>
      <c r="H139" s="743"/>
      <c r="I139" s="743"/>
      <c r="J139" s="744"/>
    </row>
    <row r="140" spans="1:10" ht="12.75" customHeight="1" x14ac:dyDescent="0.2">
      <c r="A140" s="742"/>
      <c r="B140" s="743"/>
      <c r="C140" s="743"/>
      <c r="D140" s="743"/>
      <c r="E140" s="743"/>
      <c r="F140" s="743"/>
      <c r="G140" s="743"/>
      <c r="H140" s="743"/>
      <c r="I140" s="743"/>
      <c r="J140" s="744"/>
    </row>
    <row r="141" spans="1:10" ht="12.75" customHeight="1" x14ac:dyDescent="0.2">
      <c r="A141" s="742"/>
      <c r="B141" s="743"/>
      <c r="C141" s="743"/>
      <c r="D141" s="743"/>
      <c r="E141" s="743"/>
      <c r="F141" s="743"/>
      <c r="G141" s="743"/>
      <c r="H141" s="743"/>
      <c r="I141" s="743"/>
      <c r="J141" s="744"/>
    </row>
    <row r="142" spans="1:10" ht="12.75" customHeight="1" x14ac:dyDescent="0.2">
      <c r="A142" s="742"/>
      <c r="B142" s="743"/>
      <c r="C142" s="743"/>
      <c r="D142" s="743"/>
      <c r="E142" s="743"/>
      <c r="F142" s="743"/>
      <c r="G142" s="743"/>
      <c r="H142" s="743"/>
      <c r="I142" s="743"/>
      <c r="J142" s="744"/>
    </row>
    <row r="143" spans="1:10" ht="12.75" customHeight="1" x14ac:dyDescent="0.2">
      <c r="A143" s="742"/>
      <c r="B143" s="743"/>
      <c r="C143" s="743"/>
      <c r="D143" s="743"/>
      <c r="E143" s="743"/>
      <c r="F143" s="743"/>
      <c r="G143" s="743"/>
      <c r="H143" s="743"/>
      <c r="I143" s="743"/>
      <c r="J143" s="744"/>
    </row>
    <row r="144" spans="1:10" ht="12.75" customHeight="1" x14ac:dyDescent="0.2">
      <c r="A144" s="742"/>
      <c r="B144" s="743"/>
      <c r="C144" s="743"/>
      <c r="D144" s="743"/>
      <c r="E144" s="743"/>
      <c r="F144" s="743"/>
      <c r="G144" s="743"/>
      <c r="H144" s="743"/>
      <c r="I144" s="743"/>
      <c r="J144" s="744"/>
    </row>
    <row r="145" spans="1:10" ht="12.75" customHeight="1" x14ac:dyDescent="0.2">
      <c r="A145" s="742"/>
      <c r="B145" s="743"/>
      <c r="C145" s="743"/>
      <c r="D145" s="743"/>
      <c r="E145" s="743"/>
      <c r="F145" s="743"/>
      <c r="G145" s="743"/>
      <c r="H145" s="743"/>
      <c r="I145" s="743"/>
      <c r="J145" s="744"/>
    </row>
    <row r="146" spans="1:10" ht="12.75" customHeight="1" x14ac:dyDescent="0.2">
      <c r="A146" s="742"/>
      <c r="B146" s="743"/>
      <c r="C146" s="743"/>
      <c r="D146" s="743"/>
      <c r="E146" s="743"/>
      <c r="F146" s="743"/>
      <c r="G146" s="743"/>
      <c r="H146" s="743"/>
      <c r="I146" s="743"/>
      <c r="J146" s="744"/>
    </row>
    <row r="147" spans="1:10" ht="12.75" customHeight="1" x14ac:dyDescent="0.2">
      <c r="A147" s="742"/>
      <c r="B147" s="743"/>
      <c r="C147" s="743"/>
      <c r="D147" s="743"/>
      <c r="E147" s="743"/>
      <c r="F147" s="743"/>
      <c r="G147" s="743"/>
      <c r="H147" s="743"/>
      <c r="I147" s="743"/>
      <c r="J147" s="744"/>
    </row>
    <row r="148" spans="1:10" ht="12.75" customHeight="1" x14ac:dyDescent="0.2">
      <c r="A148" s="742"/>
      <c r="B148" s="743"/>
      <c r="C148" s="743"/>
      <c r="D148" s="743"/>
      <c r="E148" s="743"/>
      <c r="F148" s="743"/>
      <c r="G148" s="743"/>
      <c r="H148" s="743"/>
      <c r="I148" s="743"/>
      <c r="J148" s="744"/>
    </row>
    <row r="149" spans="1:10" ht="12.75" customHeight="1" x14ac:dyDescent="0.2">
      <c r="A149" s="742"/>
      <c r="B149" s="743"/>
      <c r="C149" s="743"/>
      <c r="D149" s="743"/>
      <c r="E149" s="743"/>
      <c r="F149" s="743"/>
      <c r="G149" s="743"/>
      <c r="H149" s="743"/>
      <c r="I149" s="743"/>
      <c r="J149" s="744"/>
    </row>
    <row r="150" spans="1:10" ht="12.75" customHeight="1" x14ac:dyDescent="0.2">
      <c r="A150" s="742"/>
      <c r="B150" s="743"/>
      <c r="C150" s="743"/>
      <c r="D150" s="743"/>
      <c r="E150" s="743"/>
      <c r="F150" s="743"/>
      <c r="G150" s="743"/>
      <c r="H150" s="743"/>
      <c r="I150" s="743"/>
      <c r="J150" s="744"/>
    </row>
    <row r="151" spans="1:10" ht="12.75" customHeight="1" x14ac:dyDescent="0.2">
      <c r="A151" s="742"/>
      <c r="B151" s="743"/>
      <c r="C151" s="743"/>
      <c r="D151" s="743"/>
      <c r="E151" s="743"/>
      <c r="F151" s="743"/>
      <c r="G151" s="743"/>
      <c r="H151" s="743"/>
      <c r="I151" s="743"/>
      <c r="J151" s="744"/>
    </row>
    <row r="152" spans="1:10" ht="12.75" customHeight="1" x14ac:dyDescent="0.2">
      <c r="A152" s="742"/>
      <c r="B152" s="743"/>
      <c r="C152" s="743"/>
      <c r="D152" s="743"/>
      <c r="E152" s="743"/>
      <c r="F152" s="743"/>
      <c r="G152" s="743"/>
      <c r="H152" s="743"/>
      <c r="I152" s="743"/>
      <c r="J152" s="744"/>
    </row>
    <row r="153" spans="1:10" ht="12.75" customHeight="1" x14ac:dyDescent="0.2">
      <c r="A153" s="742"/>
      <c r="B153" s="743"/>
      <c r="C153" s="743"/>
      <c r="D153" s="743"/>
      <c r="E153" s="743"/>
      <c r="F153" s="743"/>
      <c r="G153" s="743"/>
      <c r="H153" s="743"/>
      <c r="I153" s="743"/>
      <c r="J153" s="744"/>
    </row>
    <row r="154" spans="1:10" ht="12.75" customHeight="1" x14ac:dyDescent="0.2">
      <c r="A154" s="742"/>
      <c r="B154" s="743"/>
      <c r="C154" s="743"/>
      <c r="D154" s="743"/>
      <c r="E154" s="743"/>
      <c r="F154" s="743"/>
      <c r="G154" s="743"/>
      <c r="H154" s="743"/>
      <c r="I154" s="743"/>
      <c r="J154" s="744"/>
    </row>
    <row r="155" spans="1:10" ht="12.75" customHeight="1" x14ac:dyDescent="0.2">
      <c r="A155" s="742"/>
      <c r="B155" s="743"/>
      <c r="C155" s="743"/>
      <c r="D155" s="743"/>
      <c r="E155" s="743"/>
      <c r="F155" s="743"/>
      <c r="G155" s="743"/>
      <c r="H155" s="743"/>
      <c r="I155" s="743"/>
      <c r="J155" s="744"/>
    </row>
    <row r="156" spans="1:10" ht="12.75" customHeight="1" x14ac:dyDescent="0.2">
      <c r="A156" s="742"/>
      <c r="B156" s="743"/>
      <c r="C156" s="743"/>
      <c r="D156" s="743"/>
      <c r="E156" s="743"/>
      <c r="F156" s="743"/>
      <c r="G156" s="743"/>
      <c r="H156" s="743"/>
      <c r="I156" s="743"/>
      <c r="J156" s="744"/>
    </row>
    <row r="157" spans="1:10" ht="12.75" customHeight="1" x14ac:dyDescent="0.2">
      <c r="A157" s="742"/>
      <c r="B157" s="743"/>
      <c r="C157" s="743"/>
      <c r="D157" s="743"/>
      <c r="E157" s="743"/>
      <c r="F157" s="743"/>
      <c r="G157" s="743"/>
      <c r="H157" s="743"/>
      <c r="I157" s="743"/>
      <c r="J157" s="744"/>
    </row>
    <row r="158" spans="1:10" ht="12.75" customHeight="1" x14ac:dyDescent="0.2">
      <c r="A158" s="742"/>
      <c r="B158" s="743"/>
      <c r="C158" s="743"/>
      <c r="D158" s="743"/>
      <c r="E158" s="743"/>
      <c r="F158" s="743"/>
      <c r="G158" s="743"/>
      <c r="H158" s="743"/>
      <c r="I158" s="743"/>
      <c r="J158" s="744"/>
    </row>
    <row r="159" spans="1:10" ht="12.75" customHeight="1" x14ac:dyDescent="0.2">
      <c r="A159" s="742"/>
      <c r="B159" s="743"/>
      <c r="C159" s="743"/>
      <c r="D159" s="743"/>
      <c r="E159" s="743"/>
      <c r="F159" s="743"/>
      <c r="G159" s="743"/>
      <c r="H159" s="743"/>
      <c r="I159" s="743"/>
      <c r="J159" s="744"/>
    </row>
    <row r="160" spans="1:10" ht="12.75" customHeight="1" x14ac:dyDescent="0.2">
      <c r="A160" s="742"/>
      <c r="B160" s="743"/>
      <c r="C160" s="743"/>
      <c r="D160" s="743"/>
      <c r="E160" s="743"/>
      <c r="F160" s="743"/>
      <c r="G160" s="743"/>
      <c r="H160" s="743"/>
      <c r="I160" s="743"/>
      <c r="J160" s="744"/>
    </row>
    <row r="161" spans="1:10" ht="12.75" customHeight="1" x14ac:dyDescent="0.2">
      <c r="A161" s="742"/>
      <c r="B161" s="743"/>
      <c r="C161" s="743"/>
      <c r="D161" s="743"/>
      <c r="E161" s="743"/>
      <c r="F161" s="743"/>
      <c r="G161" s="743"/>
      <c r="H161" s="743"/>
      <c r="I161" s="743"/>
      <c r="J161" s="744"/>
    </row>
    <row r="162" spans="1:10" ht="12.75" customHeight="1" x14ac:dyDescent="0.2">
      <c r="A162" s="742"/>
      <c r="B162" s="743"/>
      <c r="C162" s="743"/>
      <c r="D162" s="743"/>
      <c r="E162" s="743"/>
      <c r="F162" s="743"/>
      <c r="G162" s="743"/>
      <c r="H162" s="743"/>
      <c r="I162" s="743"/>
      <c r="J162" s="744"/>
    </row>
    <row r="163" spans="1:10" ht="12.75" customHeight="1" x14ac:dyDescent="0.2">
      <c r="A163" s="742"/>
      <c r="B163" s="743"/>
      <c r="C163" s="743"/>
      <c r="D163" s="743"/>
      <c r="E163" s="743"/>
      <c r="F163" s="743"/>
      <c r="G163" s="743"/>
      <c r="H163" s="743"/>
      <c r="I163" s="743"/>
      <c r="J163" s="744"/>
    </row>
    <row r="164" spans="1:10" ht="12.75" customHeight="1" x14ac:dyDescent="0.2">
      <c r="A164" s="742"/>
      <c r="B164" s="743"/>
      <c r="C164" s="743"/>
      <c r="D164" s="743"/>
      <c r="E164" s="743"/>
      <c r="F164" s="743"/>
      <c r="G164" s="743"/>
      <c r="H164" s="743"/>
      <c r="I164" s="743"/>
      <c r="J164" s="744"/>
    </row>
    <row r="165" spans="1:10" ht="12.75" customHeight="1" x14ac:dyDescent="0.2">
      <c r="A165" s="742"/>
      <c r="B165" s="743"/>
      <c r="C165" s="743"/>
      <c r="D165" s="743"/>
      <c r="E165" s="743"/>
      <c r="F165" s="743"/>
      <c r="G165" s="743"/>
      <c r="H165" s="743"/>
      <c r="I165" s="743"/>
      <c r="J165" s="744"/>
    </row>
    <row r="166" spans="1:10" ht="12.75" customHeight="1" x14ac:dyDescent="0.2">
      <c r="A166" s="742"/>
      <c r="B166" s="743"/>
      <c r="C166" s="743"/>
      <c r="D166" s="743"/>
      <c r="E166" s="743"/>
      <c r="F166" s="743"/>
      <c r="G166" s="743"/>
      <c r="H166" s="743"/>
      <c r="I166" s="743"/>
      <c r="J166" s="744"/>
    </row>
    <row r="167" spans="1:10" ht="12.75" customHeight="1" x14ac:dyDescent="0.2">
      <c r="A167" s="742"/>
      <c r="B167" s="743"/>
      <c r="C167" s="743"/>
      <c r="D167" s="743"/>
      <c r="E167" s="743"/>
      <c r="F167" s="743"/>
      <c r="G167" s="743"/>
      <c r="H167" s="743"/>
      <c r="I167" s="743"/>
      <c r="J167" s="744"/>
    </row>
    <row r="168" spans="1:10" ht="12.75" customHeight="1" x14ac:dyDescent="0.2">
      <c r="A168" s="742"/>
      <c r="B168" s="743"/>
      <c r="C168" s="743"/>
      <c r="D168" s="743"/>
      <c r="E168" s="743"/>
      <c r="F168" s="743"/>
      <c r="G168" s="743"/>
      <c r="H168" s="743"/>
      <c r="I168" s="743"/>
      <c r="J168" s="744"/>
    </row>
    <row r="169" spans="1:10" s="61" customFormat="1" x14ac:dyDescent="0.2">
      <c r="A169" s="55"/>
      <c r="B169" s="56"/>
      <c r="C169" s="57"/>
      <c r="D169" s="58"/>
      <c r="E169" s="58"/>
      <c r="F169" s="58"/>
      <c r="G169" s="58"/>
      <c r="H169" s="59"/>
      <c r="I169" s="57"/>
      <c r="J169" s="60"/>
    </row>
    <row r="170" spans="1:10" s="61" customFormat="1" ht="25.5" customHeight="1" x14ac:dyDescent="0.2">
      <c r="A170" s="751" t="s">
        <v>200</v>
      </c>
      <c r="B170" s="752"/>
      <c r="C170" s="752"/>
      <c r="D170" s="752"/>
      <c r="E170" s="752"/>
      <c r="F170" s="753"/>
      <c r="G170" s="754"/>
      <c r="H170" s="754"/>
      <c r="I170" s="754"/>
      <c r="J170" s="755"/>
    </row>
    <row r="171" spans="1:10" s="61" customFormat="1" ht="12.75" customHeight="1" x14ac:dyDescent="0.2">
      <c r="A171" s="475" t="s">
        <v>510</v>
      </c>
      <c r="B171" s="476"/>
      <c r="C171" s="476"/>
      <c r="D171" s="476"/>
      <c r="E171" s="476"/>
      <c r="F171" s="746"/>
      <c r="G171" s="746"/>
      <c r="H171" s="746"/>
      <c r="I171" s="746"/>
      <c r="J171" s="747"/>
    </row>
    <row r="172" spans="1:10" ht="12.75" customHeight="1" x14ac:dyDescent="0.2">
      <c r="A172" s="721" t="s">
        <v>367</v>
      </c>
      <c r="B172" s="722"/>
      <c r="C172" s="722"/>
      <c r="D172" s="722"/>
      <c r="E172" s="722"/>
      <c r="F172" s="722"/>
      <c r="G172" s="722"/>
      <c r="H172" s="722"/>
      <c r="I172" s="722"/>
      <c r="J172" s="723"/>
    </row>
    <row r="173" spans="1:10" ht="12.75" customHeight="1" x14ac:dyDescent="0.2">
      <c r="A173" s="724"/>
      <c r="B173" s="725"/>
      <c r="C173" s="725"/>
      <c r="D173" s="725"/>
      <c r="E173" s="725"/>
      <c r="F173" s="725"/>
      <c r="G173" s="725"/>
      <c r="H173" s="725"/>
      <c r="I173" s="725"/>
      <c r="J173" s="726"/>
    </row>
    <row r="174" spans="1:10" ht="12.75" customHeight="1" x14ac:dyDescent="0.2">
      <c r="A174" s="724"/>
      <c r="B174" s="725"/>
      <c r="C174" s="725"/>
      <c r="D174" s="725"/>
      <c r="E174" s="725"/>
      <c r="F174" s="725"/>
      <c r="G174" s="725"/>
      <c r="H174" s="725"/>
      <c r="I174" s="725"/>
      <c r="J174" s="726"/>
    </row>
    <row r="175" spans="1:10" ht="15" customHeight="1" x14ac:dyDescent="0.2">
      <c r="A175" s="727"/>
      <c r="B175" s="728"/>
      <c r="C175" s="728"/>
      <c r="D175" s="728"/>
      <c r="E175" s="728"/>
      <c r="F175" s="728"/>
      <c r="G175" s="728"/>
      <c r="H175" s="728"/>
      <c r="I175" s="728"/>
      <c r="J175" s="729"/>
    </row>
    <row r="176" spans="1:10" ht="12.75" customHeight="1" x14ac:dyDescent="0.2">
      <c r="A176" s="742"/>
      <c r="B176" s="743"/>
      <c r="C176" s="743"/>
      <c r="D176" s="743"/>
      <c r="E176" s="743"/>
      <c r="F176" s="743"/>
      <c r="G176" s="743"/>
      <c r="H176" s="743"/>
      <c r="I176" s="743"/>
      <c r="J176" s="744"/>
    </row>
    <row r="177" spans="1:10" ht="12.75" customHeight="1" x14ac:dyDescent="0.2">
      <c r="A177" s="742"/>
      <c r="B177" s="743"/>
      <c r="C177" s="743"/>
      <c r="D177" s="743"/>
      <c r="E177" s="743"/>
      <c r="F177" s="743"/>
      <c r="G177" s="743"/>
      <c r="H177" s="743"/>
      <c r="I177" s="743"/>
      <c r="J177" s="744"/>
    </row>
    <row r="178" spans="1:10" ht="12.75" customHeight="1" x14ac:dyDescent="0.2">
      <c r="A178" s="742"/>
      <c r="B178" s="743"/>
      <c r="C178" s="743"/>
      <c r="D178" s="743"/>
      <c r="E178" s="743"/>
      <c r="F178" s="743"/>
      <c r="G178" s="743"/>
      <c r="H178" s="743"/>
      <c r="I178" s="743"/>
      <c r="J178" s="744"/>
    </row>
    <row r="179" spans="1:10" ht="12.75" customHeight="1" x14ac:dyDescent="0.2">
      <c r="A179" s="742"/>
      <c r="B179" s="743"/>
      <c r="C179" s="743"/>
      <c r="D179" s="743"/>
      <c r="E179" s="743"/>
      <c r="F179" s="743"/>
      <c r="G179" s="743"/>
      <c r="H179" s="743"/>
      <c r="I179" s="743"/>
      <c r="J179" s="744"/>
    </row>
    <row r="180" spans="1:10" ht="12.75" customHeight="1" x14ac:dyDescent="0.2">
      <c r="A180" s="742"/>
      <c r="B180" s="743"/>
      <c r="C180" s="743"/>
      <c r="D180" s="743"/>
      <c r="E180" s="743"/>
      <c r="F180" s="743"/>
      <c r="G180" s="743"/>
      <c r="H180" s="743"/>
      <c r="I180" s="743"/>
      <c r="J180" s="744"/>
    </row>
    <row r="181" spans="1:10" ht="12.75" customHeight="1" x14ac:dyDescent="0.2">
      <c r="A181" s="742"/>
      <c r="B181" s="743"/>
      <c r="C181" s="743"/>
      <c r="D181" s="743"/>
      <c r="E181" s="743"/>
      <c r="F181" s="743"/>
      <c r="G181" s="743"/>
      <c r="H181" s="743"/>
      <c r="I181" s="743"/>
      <c r="J181" s="744"/>
    </row>
    <row r="182" spans="1:10" ht="12.75" customHeight="1" x14ac:dyDescent="0.2">
      <c r="A182" s="742"/>
      <c r="B182" s="743"/>
      <c r="C182" s="743"/>
      <c r="D182" s="743"/>
      <c r="E182" s="743"/>
      <c r="F182" s="743"/>
      <c r="G182" s="743"/>
      <c r="H182" s="743"/>
      <c r="I182" s="743"/>
      <c r="J182" s="744"/>
    </row>
    <row r="183" spans="1:10" ht="12.75" customHeight="1" x14ac:dyDescent="0.2">
      <c r="A183" s="742"/>
      <c r="B183" s="743"/>
      <c r="C183" s="743"/>
      <c r="D183" s="743"/>
      <c r="E183" s="743"/>
      <c r="F183" s="743"/>
      <c r="G183" s="743"/>
      <c r="H183" s="743"/>
      <c r="I183" s="743"/>
      <c r="J183" s="744"/>
    </row>
    <row r="184" spans="1:10" ht="12.75" customHeight="1" x14ac:dyDescent="0.2">
      <c r="A184" s="742"/>
      <c r="B184" s="743"/>
      <c r="C184" s="743"/>
      <c r="D184" s="743"/>
      <c r="E184" s="743"/>
      <c r="F184" s="743"/>
      <c r="G184" s="743"/>
      <c r="H184" s="743"/>
      <c r="I184" s="743"/>
      <c r="J184" s="744"/>
    </row>
    <row r="185" spans="1:10" ht="12.75" customHeight="1" x14ac:dyDescent="0.2">
      <c r="A185" s="742"/>
      <c r="B185" s="743"/>
      <c r="C185" s="743"/>
      <c r="D185" s="743"/>
      <c r="E185" s="743"/>
      <c r="F185" s="743"/>
      <c r="G185" s="743"/>
      <c r="H185" s="743"/>
      <c r="I185" s="743"/>
      <c r="J185" s="744"/>
    </row>
    <row r="186" spans="1:10" ht="12.75" customHeight="1" x14ac:dyDescent="0.2">
      <c r="A186" s="742"/>
      <c r="B186" s="743"/>
      <c r="C186" s="743"/>
      <c r="D186" s="743"/>
      <c r="E186" s="743"/>
      <c r="F186" s="743"/>
      <c r="G186" s="743"/>
      <c r="H186" s="743"/>
      <c r="I186" s="743"/>
      <c r="J186" s="744"/>
    </row>
    <row r="187" spans="1:10" ht="12.75" customHeight="1" x14ac:dyDescent="0.2">
      <c r="A187" s="742"/>
      <c r="B187" s="743"/>
      <c r="C187" s="743"/>
      <c r="D187" s="743"/>
      <c r="E187" s="743"/>
      <c r="F187" s="743"/>
      <c r="G187" s="743"/>
      <c r="H187" s="743"/>
      <c r="I187" s="743"/>
      <c r="J187" s="744"/>
    </row>
    <row r="188" spans="1:10" ht="12.75" customHeight="1" x14ac:dyDescent="0.2">
      <c r="A188" s="742"/>
      <c r="B188" s="743"/>
      <c r="C188" s="743"/>
      <c r="D188" s="743"/>
      <c r="E188" s="743"/>
      <c r="F188" s="743"/>
      <c r="G188" s="743"/>
      <c r="H188" s="743"/>
      <c r="I188" s="743"/>
      <c r="J188" s="744"/>
    </row>
    <row r="189" spans="1:10" ht="12.75" customHeight="1" x14ac:dyDescent="0.2">
      <c r="A189" s="742"/>
      <c r="B189" s="743"/>
      <c r="C189" s="743"/>
      <c r="D189" s="743"/>
      <c r="E189" s="743"/>
      <c r="F189" s="743"/>
      <c r="G189" s="743"/>
      <c r="H189" s="743"/>
      <c r="I189" s="743"/>
      <c r="J189" s="744"/>
    </row>
    <row r="190" spans="1:10" ht="12.75" customHeight="1" x14ac:dyDescent="0.2">
      <c r="A190" s="742"/>
      <c r="B190" s="743"/>
      <c r="C190" s="743"/>
      <c r="D190" s="743"/>
      <c r="E190" s="743"/>
      <c r="F190" s="743"/>
      <c r="G190" s="743"/>
      <c r="H190" s="743"/>
      <c r="I190" s="743"/>
      <c r="J190" s="744"/>
    </row>
    <row r="191" spans="1:10" ht="12.75" customHeight="1" x14ac:dyDescent="0.2">
      <c r="A191" s="742"/>
      <c r="B191" s="743"/>
      <c r="C191" s="743"/>
      <c r="D191" s="743"/>
      <c r="E191" s="743"/>
      <c r="F191" s="743"/>
      <c r="G191" s="743"/>
      <c r="H191" s="743"/>
      <c r="I191" s="743"/>
      <c r="J191" s="744"/>
    </row>
    <row r="192" spans="1:10" ht="12.75" customHeight="1" x14ac:dyDescent="0.2">
      <c r="A192" s="742"/>
      <c r="B192" s="743"/>
      <c r="C192" s="743"/>
      <c r="D192" s="743"/>
      <c r="E192" s="743"/>
      <c r="F192" s="743"/>
      <c r="G192" s="743"/>
      <c r="H192" s="743"/>
      <c r="I192" s="743"/>
      <c r="J192" s="744"/>
    </row>
    <row r="193" spans="1:10" ht="12.75" customHeight="1" x14ac:dyDescent="0.2">
      <c r="A193" s="742"/>
      <c r="B193" s="743"/>
      <c r="C193" s="743"/>
      <c r="D193" s="743"/>
      <c r="E193" s="743"/>
      <c r="F193" s="743"/>
      <c r="G193" s="743"/>
      <c r="H193" s="743"/>
      <c r="I193" s="743"/>
      <c r="J193" s="744"/>
    </row>
    <row r="194" spans="1:10" ht="12.75" customHeight="1" x14ac:dyDescent="0.2">
      <c r="A194" s="742"/>
      <c r="B194" s="743"/>
      <c r="C194" s="743"/>
      <c r="D194" s="743"/>
      <c r="E194" s="743"/>
      <c r="F194" s="743"/>
      <c r="G194" s="743"/>
      <c r="H194" s="743"/>
      <c r="I194" s="743"/>
      <c r="J194" s="744"/>
    </row>
    <row r="195" spans="1:10" ht="12.75" customHeight="1" x14ac:dyDescent="0.2">
      <c r="A195" s="742"/>
      <c r="B195" s="743"/>
      <c r="C195" s="743"/>
      <c r="D195" s="743"/>
      <c r="E195" s="743"/>
      <c r="F195" s="743"/>
      <c r="G195" s="743"/>
      <c r="H195" s="743"/>
      <c r="I195" s="743"/>
      <c r="J195" s="744"/>
    </row>
    <row r="196" spans="1:10" ht="12.75" customHeight="1" x14ac:dyDescent="0.2">
      <c r="A196" s="742"/>
      <c r="B196" s="743"/>
      <c r="C196" s="743"/>
      <c r="D196" s="743"/>
      <c r="E196" s="743"/>
      <c r="F196" s="743"/>
      <c r="G196" s="743"/>
      <c r="H196" s="743"/>
      <c r="I196" s="743"/>
      <c r="J196" s="744"/>
    </row>
    <row r="197" spans="1:10" ht="12.75" customHeight="1" x14ac:dyDescent="0.2">
      <c r="A197" s="742"/>
      <c r="B197" s="743"/>
      <c r="C197" s="743"/>
      <c r="D197" s="743"/>
      <c r="E197" s="743"/>
      <c r="F197" s="743"/>
      <c r="G197" s="743"/>
      <c r="H197" s="743"/>
      <c r="I197" s="743"/>
      <c r="J197" s="744"/>
    </row>
    <row r="198" spans="1:10" ht="12.75" customHeight="1" x14ac:dyDescent="0.2">
      <c r="A198" s="742"/>
      <c r="B198" s="743"/>
      <c r="C198" s="743"/>
      <c r="D198" s="743"/>
      <c r="E198" s="743"/>
      <c r="F198" s="743"/>
      <c r="G198" s="743"/>
      <c r="H198" s="743"/>
      <c r="I198" s="743"/>
      <c r="J198" s="744"/>
    </row>
    <row r="199" spans="1:10" ht="12.75" customHeight="1" x14ac:dyDescent="0.2">
      <c r="A199" s="742"/>
      <c r="B199" s="743"/>
      <c r="C199" s="743"/>
      <c r="D199" s="743"/>
      <c r="E199" s="743"/>
      <c r="F199" s="743"/>
      <c r="G199" s="743"/>
      <c r="H199" s="743"/>
      <c r="I199" s="743"/>
      <c r="J199" s="744"/>
    </row>
    <row r="200" spans="1:10" ht="12.75" customHeight="1" x14ac:dyDescent="0.2">
      <c r="A200" s="742"/>
      <c r="B200" s="743"/>
      <c r="C200" s="743"/>
      <c r="D200" s="743"/>
      <c r="E200" s="743"/>
      <c r="F200" s="743"/>
      <c r="G200" s="743"/>
      <c r="H200" s="743"/>
      <c r="I200" s="743"/>
      <c r="J200" s="744"/>
    </row>
    <row r="201" spans="1:10" ht="12.75" customHeight="1" x14ac:dyDescent="0.2">
      <c r="A201" s="742"/>
      <c r="B201" s="743"/>
      <c r="C201" s="743"/>
      <c r="D201" s="743"/>
      <c r="E201" s="743"/>
      <c r="F201" s="743"/>
      <c r="G201" s="743"/>
      <c r="H201" s="743"/>
      <c r="I201" s="743"/>
      <c r="J201" s="744"/>
    </row>
    <row r="202" spans="1:10" ht="12.75" customHeight="1" x14ac:dyDescent="0.2">
      <c r="A202" s="742"/>
      <c r="B202" s="743"/>
      <c r="C202" s="743"/>
      <c r="D202" s="743"/>
      <c r="E202" s="743"/>
      <c r="F202" s="743"/>
      <c r="G202" s="743"/>
      <c r="H202" s="743"/>
      <c r="I202" s="743"/>
      <c r="J202" s="744"/>
    </row>
    <row r="203" spans="1:10" ht="12.75" customHeight="1" x14ac:dyDescent="0.2">
      <c r="A203" s="742"/>
      <c r="B203" s="743"/>
      <c r="C203" s="743"/>
      <c r="D203" s="743"/>
      <c r="E203" s="743"/>
      <c r="F203" s="743"/>
      <c r="G203" s="743"/>
      <c r="H203" s="743"/>
      <c r="I203" s="743"/>
      <c r="J203" s="744"/>
    </row>
    <row r="204" spans="1:10" ht="12.75" customHeight="1" x14ac:dyDescent="0.2">
      <c r="A204" s="742"/>
      <c r="B204" s="743"/>
      <c r="C204" s="743"/>
      <c r="D204" s="743"/>
      <c r="E204" s="743"/>
      <c r="F204" s="743"/>
      <c r="G204" s="743"/>
      <c r="H204" s="743"/>
      <c r="I204" s="743"/>
      <c r="J204" s="744"/>
    </row>
    <row r="205" spans="1:10" ht="12.75" customHeight="1" x14ac:dyDescent="0.2">
      <c r="A205" s="742"/>
      <c r="B205" s="743"/>
      <c r="C205" s="743"/>
      <c r="D205" s="743"/>
      <c r="E205" s="743"/>
      <c r="F205" s="743"/>
      <c r="G205" s="743"/>
      <c r="H205" s="743"/>
      <c r="I205" s="743"/>
      <c r="J205" s="744"/>
    </row>
    <row r="206" spans="1:10" ht="12.75" customHeight="1" x14ac:dyDescent="0.2">
      <c r="A206" s="742"/>
      <c r="B206" s="743"/>
      <c r="C206" s="743"/>
      <c r="D206" s="743"/>
      <c r="E206" s="743"/>
      <c r="F206" s="743"/>
      <c r="G206" s="743"/>
      <c r="H206" s="743"/>
      <c r="I206" s="743"/>
      <c r="J206" s="744"/>
    </row>
    <row r="207" spans="1:10" ht="12.75" customHeight="1" x14ac:dyDescent="0.2">
      <c r="A207" s="742"/>
      <c r="B207" s="743"/>
      <c r="C207" s="743"/>
      <c r="D207" s="743"/>
      <c r="E207" s="743"/>
      <c r="F207" s="743"/>
      <c r="G207" s="743"/>
      <c r="H207" s="743"/>
      <c r="I207" s="743"/>
      <c r="J207" s="744"/>
    </row>
    <row r="208" spans="1:10" ht="12.75" customHeight="1" x14ac:dyDescent="0.2">
      <c r="A208" s="742"/>
      <c r="B208" s="743"/>
      <c r="C208" s="743"/>
      <c r="D208" s="743"/>
      <c r="E208" s="743"/>
      <c r="F208" s="743"/>
      <c r="G208" s="743"/>
      <c r="H208" s="743"/>
      <c r="I208" s="743"/>
      <c r="J208" s="744"/>
    </row>
    <row r="209" spans="1:10" ht="12.75" customHeight="1" x14ac:dyDescent="0.2">
      <c r="A209" s="742"/>
      <c r="B209" s="743"/>
      <c r="C209" s="743"/>
      <c r="D209" s="743"/>
      <c r="E209" s="743"/>
      <c r="F209" s="743"/>
      <c r="G209" s="743"/>
      <c r="H209" s="743"/>
      <c r="I209" s="743"/>
      <c r="J209" s="744"/>
    </row>
    <row r="210" spans="1:10" ht="12.75" customHeight="1" x14ac:dyDescent="0.2">
      <c r="A210" s="742"/>
      <c r="B210" s="743"/>
      <c r="C210" s="743"/>
      <c r="D210" s="743"/>
      <c r="E210" s="743"/>
      <c r="F210" s="743"/>
      <c r="G210" s="743"/>
      <c r="H210" s="743"/>
      <c r="I210" s="743"/>
      <c r="J210" s="744"/>
    </row>
    <row r="211" spans="1:10" s="61" customFormat="1" x14ac:dyDescent="0.2">
      <c r="A211" s="55"/>
      <c r="B211" s="56"/>
      <c r="C211" s="57"/>
      <c r="D211" s="58"/>
      <c r="E211" s="58"/>
      <c r="F211" s="58"/>
      <c r="G211" s="58"/>
      <c r="H211" s="59"/>
      <c r="I211" s="57"/>
      <c r="J211" s="60"/>
    </row>
    <row r="212" spans="1:10" s="61" customFormat="1" ht="25.5" customHeight="1" x14ac:dyDescent="0.2">
      <c r="A212" s="751" t="s">
        <v>199</v>
      </c>
      <c r="B212" s="752"/>
      <c r="C212" s="752"/>
      <c r="D212" s="752"/>
      <c r="E212" s="752"/>
      <c r="F212" s="753"/>
      <c r="G212" s="754"/>
      <c r="H212" s="754"/>
      <c r="I212" s="754"/>
      <c r="J212" s="755"/>
    </row>
    <row r="213" spans="1:10" s="61" customFormat="1" ht="12.75" customHeight="1" x14ac:dyDescent="0.2">
      <c r="A213" s="475" t="s">
        <v>510</v>
      </c>
      <c r="B213" s="476"/>
      <c r="C213" s="476"/>
      <c r="D213" s="476"/>
      <c r="E213" s="476"/>
      <c r="F213" s="746"/>
      <c r="G213" s="746"/>
      <c r="H213" s="746"/>
      <c r="I213" s="746"/>
      <c r="J213" s="747"/>
    </row>
    <row r="214" spans="1:10" ht="12.75" customHeight="1" x14ac:dyDescent="0.2">
      <c r="A214" s="721" t="s">
        <v>367</v>
      </c>
      <c r="B214" s="722"/>
      <c r="C214" s="722"/>
      <c r="D214" s="722"/>
      <c r="E214" s="722"/>
      <c r="F214" s="722"/>
      <c r="G214" s="722"/>
      <c r="H214" s="722"/>
      <c r="I214" s="722"/>
      <c r="J214" s="723"/>
    </row>
    <row r="215" spans="1:10" ht="12.75" customHeight="1" x14ac:dyDescent="0.2">
      <c r="A215" s="724"/>
      <c r="B215" s="725"/>
      <c r="C215" s="725"/>
      <c r="D215" s="725"/>
      <c r="E215" s="725"/>
      <c r="F215" s="725"/>
      <c r="G215" s="725"/>
      <c r="H215" s="725"/>
      <c r="I215" s="725"/>
      <c r="J215" s="726"/>
    </row>
    <row r="216" spans="1:10" ht="12.75" customHeight="1" x14ac:dyDescent="0.2">
      <c r="A216" s="724"/>
      <c r="B216" s="725"/>
      <c r="C216" s="725"/>
      <c r="D216" s="725"/>
      <c r="E216" s="725"/>
      <c r="F216" s="725"/>
      <c r="G216" s="725"/>
      <c r="H216" s="725"/>
      <c r="I216" s="725"/>
      <c r="J216" s="726"/>
    </row>
    <row r="217" spans="1:10" ht="15" customHeight="1" x14ac:dyDescent="0.2">
      <c r="A217" s="727"/>
      <c r="B217" s="728"/>
      <c r="C217" s="728"/>
      <c r="D217" s="728"/>
      <c r="E217" s="728"/>
      <c r="F217" s="728"/>
      <c r="G217" s="728"/>
      <c r="H217" s="728"/>
      <c r="I217" s="728"/>
      <c r="J217" s="729"/>
    </row>
    <row r="218" spans="1:10" ht="12.75" customHeight="1" x14ac:dyDescent="0.2">
      <c r="A218" s="742"/>
      <c r="B218" s="743"/>
      <c r="C218" s="743"/>
      <c r="D218" s="743"/>
      <c r="E218" s="743"/>
      <c r="F218" s="743"/>
      <c r="G218" s="743"/>
      <c r="H218" s="743"/>
      <c r="I218" s="743"/>
      <c r="J218" s="744"/>
    </row>
    <row r="219" spans="1:10" ht="12.75" customHeight="1" x14ac:dyDescent="0.2">
      <c r="A219" s="742"/>
      <c r="B219" s="743"/>
      <c r="C219" s="743"/>
      <c r="D219" s="743"/>
      <c r="E219" s="743"/>
      <c r="F219" s="743"/>
      <c r="G219" s="743"/>
      <c r="H219" s="743"/>
      <c r="I219" s="743"/>
      <c r="J219" s="744"/>
    </row>
    <row r="220" spans="1:10" ht="12.75" customHeight="1" x14ac:dyDescent="0.2">
      <c r="A220" s="742"/>
      <c r="B220" s="743"/>
      <c r="C220" s="743"/>
      <c r="D220" s="743"/>
      <c r="E220" s="743"/>
      <c r="F220" s="743"/>
      <c r="G220" s="743"/>
      <c r="H220" s="743"/>
      <c r="I220" s="743"/>
      <c r="J220" s="744"/>
    </row>
    <row r="221" spans="1:10" ht="12.75" customHeight="1" x14ac:dyDescent="0.2">
      <c r="A221" s="742"/>
      <c r="B221" s="743"/>
      <c r="C221" s="743"/>
      <c r="D221" s="743"/>
      <c r="E221" s="743"/>
      <c r="F221" s="743"/>
      <c r="G221" s="743"/>
      <c r="H221" s="743"/>
      <c r="I221" s="743"/>
      <c r="J221" s="744"/>
    </row>
    <row r="222" spans="1:10" ht="12.75" customHeight="1" x14ac:dyDescent="0.2">
      <c r="A222" s="742"/>
      <c r="B222" s="743"/>
      <c r="C222" s="743"/>
      <c r="D222" s="743"/>
      <c r="E222" s="743"/>
      <c r="F222" s="743"/>
      <c r="G222" s="743"/>
      <c r="H222" s="743"/>
      <c r="I222" s="743"/>
      <c r="J222" s="744"/>
    </row>
    <row r="223" spans="1:10" ht="12.75" customHeight="1" x14ac:dyDescent="0.2">
      <c r="A223" s="742"/>
      <c r="B223" s="743"/>
      <c r="C223" s="743"/>
      <c r="D223" s="743"/>
      <c r="E223" s="743"/>
      <c r="F223" s="743"/>
      <c r="G223" s="743"/>
      <c r="H223" s="743"/>
      <c r="I223" s="743"/>
      <c r="J223" s="744"/>
    </row>
    <row r="224" spans="1:10" ht="12.75" customHeight="1" x14ac:dyDescent="0.2">
      <c r="A224" s="742"/>
      <c r="B224" s="743"/>
      <c r="C224" s="743"/>
      <c r="D224" s="743"/>
      <c r="E224" s="743"/>
      <c r="F224" s="743"/>
      <c r="G224" s="743"/>
      <c r="H224" s="743"/>
      <c r="I224" s="743"/>
      <c r="J224" s="744"/>
    </row>
    <row r="225" spans="1:10" ht="12.75" customHeight="1" x14ac:dyDescent="0.2">
      <c r="A225" s="742"/>
      <c r="B225" s="743"/>
      <c r="C225" s="743"/>
      <c r="D225" s="743"/>
      <c r="E225" s="743"/>
      <c r="F225" s="743"/>
      <c r="G225" s="743"/>
      <c r="H225" s="743"/>
      <c r="I225" s="743"/>
      <c r="J225" s="744"/>
    </row>
    <row r="226" spans="1:10" ht="12.75" customHeight="1" x14ac:dyDescent="0.2">
      <c r="A226" s="742"/>
      <c r="B226" s="743"/>
      <c r="C226" s="743"/>
      <c r="D226" s="743"/>
      <c r="E226" s="743"/>
      <c r="F226" s="743"/>
      <c r="G226" s="743"/>
      <c r="H226" s="743"/>
      <c r="I226" s="743"/>
      <c r="J226" s="744"/>
    </row>
    <row r="227" spans="1:10" ht="12.75" customHeight="1" x14ac:dyDescent="0.2">
      <c r="A227" s="742"/>
      <c r="B227" s="743"/>
      <c r="C227" s="743"/>
      <c r="D227" s="743"/>
      <c r="E227" s="743"/>
      <c r="F227" s="743"/>
      <c r="G227" s="743"/>
      <c r="H227" s="743"/>
      <c r="I227" s="743"/>
      <c r="J227" s="744"/>
    </row>
    <row r="228" spans="1:10" ht="12.75" customHeight="1" x14ac:dyDescent="0.2">
      <c r="A228" s="742"/>
      <c r="B228" s="743"/>
      <c r="C228" s="743"/>
      <c r="D228" s="743"/>
      <c r="E228" s="743"/>
      <c r="F228" s="743"/>
      <c r="G228" s="743"/>
      <c r="H228" s="743"/>
      <c r="I228" s="743"/>
      <c r="J228" s="744"/>
    </row>
    <row r="229" spans="1:10" ht="12.75" customHeight="1" x14ac:dyDescent="0.2">
      <c r="A229" s="742"/>
      <c r="B229" s="743"/>
      <c r="C229" s="743"/>
      <c r="D229" s="743"/>
      <c r="E229" s="743"/>
      <c r="F229" s="743"/>
      <c r="G229" s="743"/>
      <c r="H229" s="743"/>
      <c r="I229" s="743"/>
      <c r="J229" s="744"/>
    </row>
    <row r="230" spans="1:10" ht="12.75" customHeight="1" x14ac:dyDescent="0.2">
      <c r="A230" s="742"/>
      <c r="B230" s="743"/>
      <c r="C230" s="743"/>
      <c r="D230" s="743"/>
      <c r="E230" s="743"/>
      <c r="F230" s="743"/>
      <c r="G230" s="743"/>
      <c r="H230" s="743"/>
      <c r="I230" s="743"/>
      <c r="J230" s="744"/>
    </row>
    <row r="231" spans="1:10" ht="12.75" customHeight="1" x14ac:dyDescent="0.2">
      <c r="A231" s="742"/>
      <c r="B231" s="743"/>
      <c r="C231" s="743"/>
      <c r="D231" s="743"/>
      <c r="E231" s="743"/>
      <c r="F231" s="743"/>
      <c r="G231" s="743"/>
      <c r="H231" s="743"/>
      <c r="I231" s="743"/>
      <c r="J231" s="744"/>
    </row>
    <row r="232" spans="1:10" ht="12.75" customHeight="1" x14ac:dyDescent="0.2">
      <c r="A232" s="742"/>
      <c r="B232" s="743"/>
      <c r="C232" s="743"/>
      <c r="D232" s="743"/>
      <c r="E232" s="743"/>
      <c r="F232" s="743"/>
      <c r="G232" s="743"/>
      <c r="H232" s="743"/>
      <c r="I232" s="743"/>
      <c r="J232" s="744"/>
    </row>
    <row r="233" spans="1:10" ht="12.75" customHeight="1" x14ac:dyDescent="0.2">
      <c r="A233" s="742"/>
      <c r="B233" s="743"/>
      <c r="C233" s="743"/>
      <c r="D233" s="743"/>
      <c r="E233" s="743"/>
      <c r="F233" s="743"/>
      <c r="G233" s="743"/>
      <c r="H233" s="743"/>
      <c r="I233" s="743"/>
      <c r="J233" s="744"/>
    </row>
    <row r="234" spans="1:10" ht="12.75" customHeight="1" x14ac:dyDescent="0.2">
      <c r="A234" s="742"/>
      <c r="B234" s="743"/>
      <c r="C234" s="743"/>
      <c r="D234" s="743"/>
      <c r="E234" s="743"/>
      <c r="F234" s="743"/>
      <c r="G234" s="743"/>
      <c r="H234" s="743"/>
      <c r="I234" s="743"/>
      <c r="J234" s="744"/>
    </row>
    <row r="235" spans="1:10" ht="12.75" customHeight="1" x14ac:dyDescent="0.2">
      <c r="A235" s="742"/>
      <c r="B235" s="743"/>
      <c r="C235" s="743"/>
      <c r="D235" s="743"/>
      <c r="E235" s="743"/>
      <c r="F235" s="743"/>
      <c r="G235" s="743"/>
      <c r="H235" s="743"/>
      <c r="I235" s="743"/>
      <c r="J235" s="744"/>
    </row>
    <row r="236" spans="1:10" ht="12.75" customHeight="1" x14ac:dyDescent="0.2">
      <c r="A236" s="742"/>
      <c r="B236" s="743"/>
      <c r="C236" s="743"/>
      <c r="D236" s="743"/>
      <c r="E236" s="743"/>
      <c r="F236" s="743"/>
      <c r="G236" s="743"/>
      <c r="H236" s="743"/>
      <c r="I236" s="743"/>
      <c r="J236" s="744"/>
    </row>
    <row r="237" spans="1:10" ht="12.75" customHeight="1" x14ac:dyDescent="0.2">
      <c r="A237" s="742"/>
      <c r="B237" s="743"/>
      <c r="C237" s="743"/>
      <c r="D237" s="743"/>
      <c r="E237" s="743"/>
      <c r="F237" s="743"/>
      <c r="G237" s="743"/>
      <c r="H237" s="743"/>
      <c r="I237" s="743"/>
      <c r="J237" s="744"/>
    </row>
    <row r="238" spans="1:10" ht="12.75" customHeight="1" x14ac:dyDescent="0.2">
      <c r="A238" s="742"/>
      <c r="B238" s="743"/>
      <c r="C238" s="743"/>
      <c r="D238" s="743"/>
      <c r="E238" s="743"/>
      <c r="F238" s="743"/>
      <c r="G238" s="743"/>
      <c r="H238" s="743"/>
      <c r="I238" s="743"/>
      <c r="J238" s="744"/>
    </row>
    <row r="239" spans="1:10" ht="12.75" customHeight="1" x14ac:dyDescent="0.2">
      <c r="A239" s="742"/>
      <c r="B239" s="743"/>
      <c r="C239" s="743"/>
      <c r="D239" s="743"/>
      <c r="E239" s="743"/>
      <c r="F239" s="743"/>
      <c r="G239" s="743"/>
      <c r="H239" s="743"/>
      <c r="I239" s="743"/>
      <c r="J239" s="744"/>
    </row>
    <row r="240" spans="1:10" ht="12.75" customHeight="1" x14ac:dyDescent="0.2">
      <c r="A240" s="742"/>
      <c r="B240" s="743"/>
      <c r="C240" s="743"/>
      <c r="D240" s="743"/>
      <c r="E240" s="743"/>
      <c r="F240" s="743"/>
      <c r="G240" s="743"/>
      <c r="H240" s="743"/>
      <c r="I240" s="743"/>
      <c r="J240" s="744"/>
    </row>
    <row r="241" spans="1:10" ht="12.75" customHeight="1" x14ac:dyDescent="0.2">
      <c r="A241" s="742"/>
      <c r="B241" s="743"/>
      <c r="C241" s="743"/>
      <c r="D241" s="743"/>
      <c r="E241" s="743"/>
      <c r="F241" s="743"/>
      <c r="G241" s="743"/>
      <c r="H241" s="743"/>
      <c r="I241" s="743"/>
      <c r="J241" s="744"/>
    </row>
    <row r="242" spans="1:10" ht="12.75" customHeight="1" x14ac:dyDescent="0.2">
      <c r="A242" s="742"/>
      <c r="B242" s="743"/>
      <c r="C242" s="743"/>
      <c r="D242" s="743"/>
      <c r="E242" s="743"/>
      <c r="F242" s="743"/>
      <c r="G242" s="743"/>
      <c r="H242" s="743"/>
      <c r="I242" s="743"/>
      <c r="J242" s="744"/>
    </row>
    <row r="243" spans="1:10" ht="12.75" customHeight="1" x14ac:dyDescent="0.2">
      <c r="A243" s="742"/>
      <c r="B243" s="743"/>
      <c r="C243" s="743"/>
      <c r="D243" s="743"/>
      <c r="E243" s="743"/>
      <c r="F243" s="743"/>
      <c r="G243" s="743"/>
      <c r="H243" s="743"/>
      <c r="I243" s="743"/>
      <c r="J243" s="744"/>
    </row>
    <row r="244" spans="1:10" ht="12.75" customHeight="1" x14ac:dyDescent="0.2">
      <c r="A244" s="742"/>
      <c r="B244" s="743"/>
      <c r="C244" s="743"/>
      <c r="D244" s="743"/>
      <c r="E244" s="743"/>
      <c r="F244" s="743"/>
      <c r="G244" s="743"/>
      <c r="H244" s="743"/>
      <c r="I244" s="743"/>
      <c r="J244" s="744"/>
    </row>
    <row r="245" spans="1:10" ht="12.75" customHeight="1" x14ac:dyDescent="0.2">
      <c r="A245" s="742"/>
      <c r="B245" s="743"/>
      <c r="C245" s="743"/>
      <c r="D245" s="743"/>
      <c r="E245" s="743"/>
      <c r="F245" s="743"/>
      <c r="G245" s="743"/>
      <c r="H245" s="743"/>
      <c r="I245" s="743"/>
      <c r="J245" s="744"/>
    </row>
    <row r="246" spans="1:10" ht="12.75" customHeight="1" x14ac:dyDescent="0.2">
      <c r="A246" s="742"/>
      <c r="B246" s="743"/>
      <c r="C246" s="743"/>
      <c r="D246" s="743"/>
      <c r="E246" s="743"/>
      <c r="F246" s="743"/>
      <c r="G246" s="743"/>
      <c r="H246" s="743"/>
      <c r="I246" s="743"/>
      <c r="J246" s="744"/>
    </row>
    <row r="247" spans="1:10" ht="12.75" customHeight="1" x14ac:dyDescent="0.2">
      <c r="A247" s="742"/>
      <c r="B247" s="743"/>
      <c r="C247" s="743"/>
      <c r="D247" s="743"/>
      <c r="E247" s="743"/>
      <c r="F247" s="743"/>
      <c r="G247" s="743"/>
      <c r="H247" s="743"/>
      <c r="I247" s="743"/>
      <c r="J247" s="744"/>
    </row>
    <row r="248" spans="1:10" ht="12.75" customHeight="1" x14ac:dyDescent="0.2">
      <c r="A248" s="742"/>
      <c r="B248" s="743"/>
      <c r="C248" s="743"/>
      <c r="D248" s="743"/>
      <c r="E248" s="743"/>
      <c r="F248" s="743"/>
      <c r="G248" s="743"/>
      <c r="H248" s="743"/>
      <c r="I248" s="743"/>
      <c r="J248" s="744"/>
    </row>
    <row r="249" spans="1:10" ht="12.75" customHeight="1" x14ac:dyDescent="0.2">
      <c r="A249" s="742"/>
      <c r="B249" s="743"/>
      <c r="C249" s="743"/>
      <c r="D249" s="743"/>
      <c r="E249" s="743"/>
      <c r="F249" s="743"/>
      <c r="G249" s="743"/>
      <c r="H249" s="743"/>
      <c r="I249" s="743"/>
      <c r="J249" s="744"/>
    </row>
    <row r="250" spans="1:10" ht="12.75" customHeight="1" x14ac:dyDescent="0.2">
      <c r="A250" s="742"/>
      <c r="B250" s="743"/>
      <c r="C250" s="743"/>
      <c r="D250" s="743"/>
      <c r="E250" s="743"/>
      <c r="F250" s="743"/>
      <c r="G250" s="743"/>
      <c r="H250" s="743"/>
      <c r="I250" s="743"/>
      <c r="J250" s="744"/>
    </row>
    <row r="251" spans="1:10" ht="12.75" customHeight="1" x14ac:dyDescent="0.2">
      <c r="A251" s="742"/>
      <c r="B251" s="743"/>
      <c r="C251" s="743"/>
      <c r="D251" s="743"/>
      <c r="E251" s="743"/>
      <c r="F251" s="743"/>
      <c r="G251" s="743"/>
      <c r="H251" s="743"/>
      <c r="I251" s="743"/>
      <c r="J251" s="744"/>
    </row>
    <row r="252" spans="1:10" ht="12.75" customHeight="1" x14ac:dyDescent="0.2">
      <c r="A252" s="742"/>
      <c r="B252" s="743"/>
      <c r="C252" s="743"/>
      <c r="D252" s="743"/>
      <c r="E252" s="743"/>
      <c r="F252" s="743"/>
      <c r="G252" s="743"/>
      <c r="H252" s="743"/>
      <c r="I252" s="743"/>
      <c r="J252" s="744"/>
    </row>
    <row r="253" spans="1:10" s="61" customFormat="1" x14ac:dyDescent="0.2">
      <c r="A253" s="55"/>
      <c r="B253" s="56"/>
      <c r="C253" s="57"/>
      <c r="D253" s="58"/>
      <c r="E253" s="58"/>
      <c r="F253" s="58"/>
      <c r="G253" s="58"/>
      <c r="H253" s="59"/>
      <c r="I253" s="57"/>
      <c r="J253" s="60"/>
    </row>
    <row r="254" spans="1:10" s="61" customFormat="1" ht="25.5" customHeight="1" x14ac:dyDescent="0.2">
      <c r="A254" s="751" t="s">
        <v>198</v>
      </c>
      <c r="B254" s="752"/>
      <c r="C254" s="752"/>
      <c r="D254" s="752"/>
      <c r="E254" s="752"/>
      <c r="F254" s="753"/>
      <c r="G254" s="754"/>
      <c r="H254" s="754"/>
      <c r="I254" s="754"/>
      <c r="J254" s="755"/>
    </row>
    <row r="255" spans="1:10" s="61" customFormat="1" ht="12.75" customHeight="1" x14ac:dyDescent="0.2">
      <c r="A255" s="475" t="s">
        <v>510</v>
      </c>
      <c r="B255" s="476"/>
      <c r="C255" s="476"/>
      <c r="D255" s="476"/>
      <c r="E255" s="476"/>
      <c r="F255" s="746"/>
      <c r="G255" s="746"/>
      <c r="H255" s="746"/>
      <c r="I255" s="746"/>
      <c r="J255" s="747"/>
    </row>
    <row r="256" spans="1:10" ht="12.75" customHeight="1" x14ac:dyDescent="0.2">
      <c r="A256" s="721" t="s">
        <v>367</v>
      </c>
      <c r="B256" s="722"/>
      <c r="C256" s="722"/>
      <c r="D256" s="722"/>
      <c r="E256" s="722"/>
      <c r="F256" s="722"/>
      <c r="G256" s="722"/>
      <c r="H256" s="722"/>
      <c r="I256" s="722"/>
      <c r="J256" s="723"/>
    </row>
    <row r="257" spans="1:10" ht="12.75" customHeight="1" x14ac:dyDescent="0.2">
      <c r="A257" s="724"/>
      <c r="B257" s="725"/>
      <c r="C257" s="725"/>
      <c r="D257" s="725"/>
      <c r="E257" s="725"/>
      <c r="F257" s="725"/>
      <c r="G257" s="725"/>
      <c r="H257" s="725"/>
      <c r="I257" s="725"/>
      <c r="J257" s="726"/>
    </row>
    <row r="258" spans="1:10" ht="12.75" customHeight="1" x14ac:dyDescent="0.2">
      <c r="A258" s="724"/>
      <c r="B258" s="725"/>
      <c r="C258" s="725"/>
      <c r="D258" s="725"/>
      <c r="E258" s="725"/>
      <c r="F258" s="725"/>
      <c r="G258" s="725"/>
      <c r="H258" s="725"/>
      <c r="I258" s="725"/>
      <c r="J258" s="726"/>
    </row>
    <row r="259" spans="1:10" ht="15" customHeight="1" x14ac:dyDescent="0.2">
      <c r="A259" s="727"/>
      <c r="B259" s="728"/>
      <c r="C259" s="728"/>
      <c r="D259" s="728"/>
      <c r="E259" s="728"/>
      <c r="F259" s="728"/>
      <c r="G259" s="728"/>
      <c r="H259" s="728"/>
      <c r="I259" s="728"/>
      <c r="J259" s="729"/>
    </row>
    <row r="260" spans="1:10" ht="12.75" customHeight="1" x14ac:dyDescent="0.2">
      <c r="A260" s="742"/>
      <c r="B260" s="743"/>
      <c r="C260" s="743"/>
      <c r="D260" s="743"/>
      <c r="E260" s="743"/>
      <c r="F260" s="743"/>
      <c r="G260" s="743"/>
      <c r="H260" s="743"/>
      <c r="I260" s="743"/>
      <c r="J260" s="744"/>
    </row>
    <row r="261" spans="1:10" ht="12.75" customHeight="1" x14ac:dyDescent="0.2">
      <c r="A261" s="742"/>
      <c r="B261" s="743"/>
      <c r="C261" s="743"/>
      <c r="D261" s="743"/>
      <c r="E261" s="743"/>
      <c r="F261" s="743"/>
      <c r="G261" s="743"/>
      <c r="H261" s="743"/>
      <c r="I261" s="743"/>
      <c r="J261" s="744"/>
    </row>
    <row r="262" spans="1:10" ht="12.75" customHeight="1" x14ac:dyDescent="0.2">
      <c r="A262" s="742"/>
      <c r="B262" s="743"/>
      <c r="C262" s="743"/>
      <c r="D262" s="743"/>
      <c r="E262" s="743"/>
      <c r="F262" s="743"/>
      <c r="G262" s="743"/>
      <c r="H262" s="743"/>
      <c r="I262" s="743"/>
      <c r="J262" s="744"/>
    </row>
    <row r="263" spans="1:10" ht="12.75" customHeight="1" x14ac:dyDescent="0.2">
      <c r="A263" s="742"/>
      <c r="B263" s="743"/>
      <c r="C263" s="743"/>
      <c r="D263" s="743"/>
      <c r="E263" s="743"/>
      <c r="F263" s="743"/>
      <c r="G263" s="743"/>
      <c r="H263" s="743"/>
      <c r="I263" s="743"/>
      <c r="J263" s="744"/>
    </row>
    <row r="264" spans="1:10" ht="12.75" customHeight="1" x14ac:dyDescent="0.2">
      <c r="A264" s="742"/>
      <c r="B264" s="743"/>
      <c r="C264" s="743"/>
      <c r="D264" s="743"/>
      <c r="E264" s="743"/>
      <c r="F264" s="743"/>
      <c r="G264" s="743"/>
      <c r="H264" s="743"/>
      <c r="I264" s="743"/>
      <c r="J264" s="744"/>
    </row>
    <row r="265" spans="1:10" ht="12.75" customHeight="1" x14ac:dyDescent="0.2">
      <c r="A265" s="742"/>
      <c r="B265" s="743"/>
      <c r="C265" s="743"/>
      <c r="D265" s="743"/>
      <c r="E265" s="743"/>
      <c r="F265" s="743"/>
      <c r="G265" s="743"/>
      <c r="H265" s="743"/>
      <c r="I265" s="743"/>
      <c r="J265" s="744"/>
    </row>
    <row r="266" spans="1:10" ht="12.75" customHeight="1" x14ac:dyDescent="0.2">
      <c r="A266" s="742"/>
      <c r="B266" s="743"/>
      <c r="C266" s="743"/>
      <c r="D266" s="743"/>
      <c r="E266" s="743"/>
      <c r="F266" s="743"/>
      <c r="G266" s="743"/>
      <c r="H266" s="743"/>
      <c r="I266" s="743"/>
      <c r="J266" s="744"/>
    </row>
    <row r="267" spans="1:10" ht="12.75" customHeight="1" x14ac:dyDescent="0.2">
      <c r="A267" s="742"/>
      <c r="B267" s="743"/>
      <c r="C267" s="743"/>
      <c r="D267" s="743"/>
      <c r="E267" s="743"/>
      <c r="F267" s="743"/>
      <c r="G267" s="743"/>
      <c r="H267" s="743"/>
      <c r="I267" s="743"/>
      <c r="J267" s="744"/>
    </row>
    <row r="268" spans="1:10" ht="12.75" customHeight="1" x14ac:dyDescent="0.2">
      <c r="A268" s="742"/>
      <c r="B268" s="743"/>
      <c r="C268" s="743"/>
      <c r="D268" s="743"/>
      <c r="E268" s="743"/>
      <c r="F268" s="743"/>
      <c r="G268" s="743"/>
      <c r="H268" s="743"/>
      <c r="I268" s="743"/>
      <c r="J268" s="744"/>
    </row>
    <row r="269" spans="1:10" ht="12.75" customHeight="1" x14ac:dyDescent="0.2">
      <c r="A269" s="742"/>
      <c r="B269" s="743"/>
      <c r="C269" s="743"/>
      <c r="D269" s="743"/>
      <c r="E269" s="743"/>
      <c r="F269" s="743"/>
      <c r="G269" s="743"/>
      <c r="H269" s="743"/>
      <c r="I269" s="743"/>
      <c r="J269" s="744"/>
    </row>
    <row r="270" spans="1:10" ht="12.75" customHeight="1" x14ac:dyDescent="0.2">
      <c r="A270" s="742"/>
      <c r="B270" s="743"/>
      <c r="C270" s="743"/>
      <c r="D270" s="743"/>
      <c r="E270" s="743"/>
      <c r="F270" s="743"/>
      <c r="G270" s="743"/>
      <c r="H270" s="743"/>
      <c r="I270" s="743"/>
      <c r="J270" s="744"/>
    </row>
    <row r="271" spans="1:10" ht="12.75" customHeight="1" x14ac:dyDescent="0.2">
      <c r="A271" s="742"/>
      <c r="B271" s="743"/>
      <c r="C271" s="743"/>
      <c r="D271" s="743"/>
      <c r="E271" s="743"/>
      <c r="F271" s="743"/>
      <c r="G271" s="743"/>
      <c r="H271" s="743"/>
      <c r="I271" s="743"/>
      <c r="J271" s="744"/>
    </row>
    <row r="272" spans="1:10" ht="12.75" customHeight="1" x14ac:dyDescent="0.2">
      <c r="A272" s="742"/>
      <c r="B272" s="743"/>
      <c r="C272" s="743"/>
      <c r="D272" s="743"/>
      <c r="E272" s="743"/>
      <c r="F272" s="743"/>
      <c r="G272" s="743"/>
      <c r="H272" s="743"/>
      <c r="I272" s="743"/>
      <c r="J272" s="744"/>
    </row>
    <row r="273" spans="1:10" ht="12.75" customHeight="1" x14ac:dyDescent="0.2">
      <c r="A273" s="742"/>
      <c r="B273" s="743"/>
      <c r="C273" s="743"/>
      <c r="D273" s="743"/>
      <c r="E273" s="743"/>
      <c r="F273" s="743"/>
      <c r="G273" s="743"/>
      <c r="H273" s="743"/>
      <c r="I273" s="743"/>
      <c r="J273" s="744"/>
    </row>
    <row r="274" spans="1:10" ht="12.75" customHeight="1" x14ac:dyDescent="0.2">
      <c r="A274" s="742"/>
      <c r="B274" s="743"/>
      <c r="C274" s="743"/>
      <c r="D274" s="743"/>
      <c r="E274" s="743"/>
      <c r="F274" s="743"/>
      <c r="G274" s="743"/>
      <c r="H274" s="743"/>
      <c r="I274" s="743"/>
      <c r="J274" s="744"/>
    </row>
    <row r="275" spans="1:10" ht="12.75" customHeight="1" x14ac:dyDescent="0.2">
      <c r="A275" s="742"/>
      <c r="B275" s="743"/>
      <c r="C275" s="743"/>
      <c r="D275" s="743"/>
      <c r="E275" s="743"/>
      <c r="F275" s="743"/>
      <c r="G275" s="743"/>
      <c r="H275" s="743"/>
      <c r="I275" s="743"/>
      <c r="J275" s="744"/>
    </row>
    <row r="276" spans="1:10" ht="12.75" customHeight="1" x14ac:dyDescent="0.2">
      <c r="A276" s="742"/>
      <c r="B276" s="743"/>
      <c r="C276" s="743"/>
      <c r="D276" s="743"/>
      <c r="E276" s="743"/>
      <c r="F276" s="743"/>
      <c r="G276" s="743"/>
      <c r="H276" s="743"/>
      <c r="I276" s="743"/>
      <c r="J276" s="744"/>
    </row>
    <row r="277" spans="1:10" ht="12.75" customHeight="1" x14ac:dyDescent="0.2">
      <c r="A277" s="742"/>
      <c r="B277" s="743"/>
      <c r="C277" s="743"/>
      <c r="D277" s="743"/>
      <c r="E277" s="743"/>
      <c r="F277" s="743"/>
      <c r="G277" s="743"/>
      <c r="H277" s="743"/>
      <c r="I277" s="743"/>
      <c r="J277" s="744"/>
    </row>
    <row r="278" spans="1:10" ht="12.75" customHeight="1" x14ac:dyDescent="0.2">
      <c r="A278" s="742"/>
      <c r="B278" s="743"/>
      <c r="C278" s="743"/>
      <c r="D278" s="743"/>
      <c r="E278" s="743"/>
      <c r="F278" s="743"/>
      <c r="G278" s="743"/>
      <c r="H278" s="743"/>
      <c r="I278" s="743"/>
      <c r="J278" s="744"/>
    </row>
    <row r="279" spans="1:10" ht="12.75" customHeight="1" x14ac:dyDescent="0.2">
      <c r="A279" s="742"/>
      <c r="B279" s="743"/>
      <c r="C279" s="743"/>
      <c r="D279" s="743"/>
      <c r="E279" s="743"/>
      <c r="F279" s="743"/>
      <c r="G279" s="743"/>
      <c r="H279" s="743"/>
      <c r="I279" s="743"/>
      <c r="J279" s="744"/>
    </row>
    <row r="280" spans="1:10" ht="12.75" customHeight="1" x14ac:dyDescent="0.2">
      <c r="A280" s="742"/>
      <c r="B280" s="743"/>
      <c r="C280" s="743"/>
      <c r="D280" s="743"/>
      <c r="E280" s="743"/>
      <c r="F280" s="743"/>
      <c r="G280" s="743"/>
      <c r="H280" s="743"/>
      <c r="I280" s="743"/>
      <c r="J280" s="744"/>
    </row>
    <row r="281" spans="1:10" ht="12.75" customHeight="1" x14ac:dyDescent="0.2">
      <c r="A281" s="742"/>
      <c r="B281" s="743"/>
      <c r="C281" s="743"/>
      <c r="D281" s="743"/>
      <c r="E281" s="743"/>
      <c r="F281" s="743"/>
      <c r="G281" s="743"/>
      <c r="H281" s="743"/>
      <c r="I281" s="743"/>
      <c r="J281" s="744"/>
    </row>
    <row r="282" spans="1:10" ht="12.75" customHeight="1" x14ac:dyDescent="0.2">
      <c r="A282" s="742"/>
      <c r="B282" s="743"/>
      <c r="C282" s="743"/>
      <c r="D282" s="743"/>
      <c r="E282" s="743"/>
      <c r="F282" s="743"/>
      <c r="G282" s="743"/>
      <c r="H282" s="743"/>
      <c r="I282" s="743"/>
      <c r="J282" s="744"/>
    </row>
    <row r="283" spans="1:10" ht="12.75" customHeight="1" x14ac:dyDescent="0.2">
      <c r="A283" s="742"/>
      <c r="B283" s="743"/>
      <c r="C283" s="743"/>
      <c r="D283" s="743"/>
      <c r="E283" s="743"/>
      <c r="F283" s="743"/>
      <c r="G283" s="743"/>
      <c r="H283" s="743"/>
      <c r="I283" s="743"/>
      <c r="J283" s="744"/>
    </row>
    <row r="284" spans="1:10" ht="12.75" customHeight="1" x14ac:dyDescent="0.2">
      <c r="A284" s="742"/>
      <c r="B284" s="743"/>
      <c r="C284" s="743"/>
      <c r="D284" s="743"/>
      <c r="E284" s="743"/>
      <c r="F284" s="743"/>
      <c r="G284" s="743"/>
      <c r="H284" s="743"/>
      <c r="I284" s="743"/>
      <c r="J284" s="744"/>
    </row>
    <row r="285" spans="1:10" ht="12.75" customHeight="1" x14ac:dyDescent="0.2">
      <c r="A285" s="742"/>
      <c r="B285" s="743"/>
      <c r="C285" s="743"/>
      <c r="D285" s="743"/>
      <c r="E285" s="743"/>
      <c r="F285" s="743"/>
      <c r="G285" s="743"/>
      <c r="H285" s="743"/>
      <c r="I285" s="743"/>
      <c r="J285" s="744"/>
    </row>
    <row r="286" spans="1:10" ht="12.75" customHeight="1" x14ac:dyDescent="0.2">
      <c r="A286" s="742"/>
      <c r="B286" s="743"/>
      <c r="C286" s="743"/>
      <c r="D286" s="743"/>
      <c r="E286" s="743"/>
      <c r="F286" s="743"/>
      <c r="G286" s="743"/>
      <c r="H286" s="743"/>
      <c r="I286" s="743"/>
      <c r="J286" s="744"/>
    </row>
    <row r="287" spans="1:10" ht="12.75" customHeight="1" x14ac:dyDescent="0.2">
      <c r="A287" s="742"/>
      <c r="B287" s="743"/>
      <c r="C287" s="743"/>
      <c r="D287" s="743"/>
      <c r="E287" s="743"/>
      <c r="F287" s="743"/>
      <c r="G287" s="743"/>
      <c r="H287" s="743"/>
      <c r="I287" s="743"/>
      <c r="J287" s="744"/>
    </row>
    <row r="288" spans="1:10" ht="12.75" customHeight="1" x14ac:dyDescent="0.2">
      <c r="A288" s="742"/>
      <c r="B288" s="743"/>
      <c r="C288" s="743"/>
      <c r="D288" s="743"/>
      <c r="E288" s="743"/>
      <c r="F288" s="743"/>
      <c r="G288" s="743"/>
      <c r="H288" s="743"/>
      <c r="I288" s="743"/>
      <c r="J288" s="744"/>
    </row>
    <row r="289" spans="1:10" ht="12.75" customHeight="1" x14ac:dyDescent="0.2">
      <c r="A289" s="742"/>
      <c r="B289" s="743"/>
      <c r="C289" s="743"/>
      <c r="D289" s="743"/>
      <c r="E289" s="743"/>
      <c r="F289" s="743"/>
      <c r="G289" s="743"/>
      <c r="H289" s="743"/>
      <c r="I289" s="743"/>
      <c r="J289" s="744"/>
    </row>
    <row r="290" spans="1:10" ht="12.75" customHeight="1" x14ac:dyDescent="0.2">
      <c r="A290" s="742"/>
      <c r="B290" s="743"/>
      <c r="C290" s="743"/>
      <c r="D290" s="743"/>
      <c r="E290" s="743"/>
      <c r="F290" s="743"/>
      <c r="G290" s="743"/>
      <c r="H290" s="743"/>
      <c r="I290" s="743"/>
      <c r="J290" s="744"/>
    </row>
    <row r="291" spans="1:10" ht="12.75" customHeight="1" x14ac:dyDescent="0.2">
      <c r="A291" s="742"/>
      <c r="B291" s="743"/>
      <c r="C291" s="743"/>
      <c r="D291" s="743"/>
      <c r="E291" s="743"/>
      <c r="F291" s="743"/>
      <c r="G291" s="743"/>
      <c r="H291" s="743"/>
      <c r="I291" s="743"/>
      <c r="J291" s="744"/>
    </row>
    <row r="292" spans="1:10" ht="12.75" customHeight="1" x14ac:dyDescent="0.2">
      <c r="A292" s="742"/>
      <c r="B292" s="743"/>
      <c r="C292" s="743"/>
      <c r="D292" s="743"/>
      <c r="E292" s="743"/>
      <c r="F292" s="743"/>
      <c r="G292" s="743"/>
      <c r="H292" s="743"/>
      <c r="I292" s="743"/>
      <c r="J292" s="744"/>
    </row>
    <row r="293" spans="1:10" ht="12.75" customHeight="1" x14ac:dyDescent="0.2">
      <c r="A293" s="742"/>
      <c r="B293" s="743"/>
      <c r="C293" s="743"/>
      <c r="D293" s="743"/>
      <c r="E293" s="743"/>
      <c r="F293" s="743"/>
      <c r="G293" s="743"/>
      <c r="H293" s="743"/>
      <c r="I293" s="743"/>
      <c r="J293" s="744"/>
    </row>
    <row r="294" spans="1:10" ht="12.75" customHeight="1" x14ac:dyDescent="0.2">
      <c r="A294" s="742"/>
      <c r="B294" s="743"/>
      <c r="C294" s="743"/>
      <c r="D294" s="743"/>
      <c r="E294" s="743"/>
      <c r="F294" s="743"/>
      <c r="G294" s="743"/>
      <c r="H294" s="743"/>
      <c r="I294" s="743"/>
      <c r="J294" s="744"/>
    </row>
    <row r="295" spans="1:10" s="61" customFormat="1" x14ac:dyDescent="0.2">
      <c r="A295" s="55"/>
      <c r="B295" s="56"/>
      <c r="C295" s="57"/>
      <c r="D295" s="58"/>
      <c r="E295" s="58"/>
      <c r="F295" s="58"/>
      <c r="G295" s="58"/>
      <c r="H295" s="59"/>
      <c r="I295" s="57"/>
      <c r="J295" s="60"/>
    </row>
    <row r="296" spans="1:10" s="61" customFormat="1" ht="25.5" customHeight="1" x14ac:dyDescent="0.2">
      <c r="A296" s="751" t="s">
        <v>197</v>
      </c>
      <c r="B296" s="752"/>
      <c r="C296" s="752"/>
      <c r="D296" s="752"/>
      <c r="E296" s="752"/>
      <c r="F296" s="753"/>
      <c r="G296" s="754"/>
      <c r="H296" s="754"/>
      <c r="I296" s="754"/>
      <c r="J296" s="755"/>
    </row>
    <row r="297" spans="1:10" s="61" customFormat="1" ht="12.75" customHeight="1" x14ac:dyDescent="0.2">
      <c r="A297" s="475" t="s">
        <v>510</v>
      </c>
      <c r="B297" s="476"/>
      <c r="C297" s="476"/>
      <c r="D297" s="476"/>
      <c r="E297" s="476"/>
      <c r="F297" s="746"/>
      <c r="G297" s="746"/>
      <c r="H297" s="746"/>
      <c r="I297" s="746"/>
      <c r="J297" s="747"/>
    </row>
    <row r="298" spans="1:10" ht="12.75" customHeight="1" x14ac:dyDescent="0.2">
      <c r="A298" s="721" t="s">
        <v>367</v>
      </c>
      <c r="B298" s="722"/>
      <c r="C298" s="722"/>
      <c r="D298" s="722"/>
      <c r="E298" s="722"/>
      <c r="F298" s="722"/>
      <c r="G298" s="722"/>
      <c r="H298" s="722"/>
      <c r="I298" s="722"/>
      <c r="J298" s="723"/>
    </row>
    <row r="299" spans="1:10" ht="12.75" customHeight="1" x14ac:dyDescent="0.2">
      <c r="A299" s="724"/>
      <c r="B299" s="725"/>
      <c r="C299" s="725"/>
      <c r="D299" s="725"/>
      <c r="E299" s="725"/>
      <c r="F299" s="725"/>
      <c r="G299" s="725"/>
      <c r="H299" s="725"/>
      <c r="I299" s="725"/>
      <c r="J299" s="726"/>
    </row>
    <row r="300" spans="1:10" ht="12.75" customHeight="1" x14ac:dyDescent="0.2">
      <c r="A300" s="724"/>
      <c r="B300" s="725"/>
      <c r="C300" s="725"/>
      <c r="D300" s="725"/>
      <c r="E300" s="725"/>
      <c r="F300" s="725"/>
      <c r="G300" s="725"/>
      <c r="H300" s="725"/>
      <c r="I300" s="725"/>
      <c r="J300" s="726"/>
    </row>
    <row r="301" spans="1:10" ht="15" customHeight="1" x14ac:dyDescent="0.2">
      <c r="A301" s="727"/>
      <c r="B301" s="728"/>
      <c r="C301" s="728"/>
      <c r="D301" s="728"/>
      <c r="E301" s="728"/>
      <c r="F301" s="728"/>
      <c r="G301" s="728"/>
      <c r="H301" s="728"/>
      <c r="I301" s="728"/>
      <c r="J301" s="729"/>
    </row>
    <row r="302" spans="1:10" ht="12.75" customHeight="1" x14ac:dyDescent="0.2">
      <c r="A302" s="742"/>
      <c r="B302" s="743"/>
      <c r="C302" s="743"/>
      <c r="D302" s="743"/>
      <c r="E302" s="743"/>
      <c r="F302" s="743"/>
      <c r="G302" s="743"/>
      <c r="H302" s="743"/>
      <c r="I302" s="743"/>
      <c r="J302" s="744"/>
    </row>
    <row r="303" spans="1:10" ht="12.75" customHeight="1" x14ac:dyDescent="0.2">
      <c r="A303" s="742"/>
      <c r="B303" s="743"/>
      <c r="C303" s="743"/>
      <c r="D303" s="743"/>
      <c r="E303" s="743"/>
      <c r="F303" s="743"/>
      <c r="G303" s="743"/>
      <c r="H303" s="743"/>
      <c r="I303" s="743"/>
      <c r="J303" s="744"/>
    </row>
    <row r="304" spans="1:10" ht="12.75" customHeight="1" x14ac:dyDescent="0.2">
      <c r="A304" s="742"/>
      <c r="B304" s="743"/>
      <c r="C304" s="743"/>
      <c r="D304" s="743"/>
      <c r="E304" s="743"/>
      <c r="F304" s="743"/>
      <c r="G304" s="743"/>
      <c r="H304" s="743"/>
      <c r="I304" s="743"/>
      <c r="J304" s="744"/>
    </row>
    <row r="305" spans="1:10" ht="12.75" customHeight="1" x14ac:dyDescent="0.2">
      <c r="A305" s="742"/>
      <c r="B305" s="743"/>
      <c r="C305" s="743"/>
      <c r="D305" s="743"/>
      <c r="E305" s="743"/>
      <c r="F305" s="743"/>
      <c r="G305" s="743"/>
      <c r="H305" s="743"/>
      <c r="I305" s="743"/>
      <c r="J305" s="744"/>
    </row>
    <row r="306" spans="1:10" ht="12.75" customHeight="1" x14ac:dyDescent="0.2">
      <c r="A306" s="742"/>
      <c r="B306" s="743"/>
      <c r="C306" s="743"/>
      <c r="D306" s="743"/>
      <c r="E306" s="743"/>
      <c r="F306" s="743"/>
      <c r="G306" s="743"/>
      <c r="H306" s="743"/>
      <c r="I306" s="743"/>
      <c r="J306" s="744"/>
    </row>
    <row r="307" spans="1:10" ht="12.75" customHeight="1" x14ac:dyDescent="0.2">
      <c r="A307" s="742"/>
      <c r="B307" s="743"/>
      <c r="C307" s="743"/>
      <c r="D307" s="743"/>
      <c r="E307" s="743"/>
      <c r="F307" s="743"/>
      <c r="G307" s="743"/>
      <c r="H307" s="743"/>
      <c r="I307" s="743"/>
      <c r="J307" s="744"/>
    </row>
    <row r="308" spans="1:10" ht="12.75" customHeight="1" x14ac:dyDescent="0.2">
      <c r="A308" s="742"/>
      <c r="B308" s="743"/>
      <c r="C308" s="743"/>
      <c r="D308" s="743"/>
      <c r="E308" s="743"/>
      <c r="F308" s="743"/>
      <c r="G308" s="743"/>
      <c r="H308" s="743"/>
      <c r="I308" s="743"/>
      <c r="J308" s="744"/>
    </row>
    <row r="309" spans="1:10" ht="12.75" customHeight="1" x14ac:dyDescent="0.2">
      <c r="A309" s="742"/>
      <c r="B309" s="743"/>
      <c r="C309" s="743"/>
      <c r="D309" s="743"/>
      <c r="E309" s="743"/>
      <c r="F309" s="743"/>
      <c r="G309" s="743"/>
      <c r="H309" s="743"/>
      <c r="I309" s="743"/>
      <c r="J309" s="744"/>
    </row>
    <row r="310" spans="1:10" ht="12.75" customHeight="1" x14ac:dyDescent="0.2">
      <c r="A310" s="742"/>
      <c r="B310" s="743"/>
      <c r="C310" s="743"/>
      <c r="D310" s="743"/>
      <c r="E310" s="743"/>
      <c r="F310" s="743"/>
      <c r="G310" s="743"/>
      <c r="H310" s="743"/>
      <c r="I310" s="743"/>
      <c r="J310" s="744"/>
    </row>
    <row r="311" spans="1:10" ht="12.75" customHeight="1" x14ac:dyDescent="0.2">
      <c r="A311" s="742"/>
      <c r="B311" s="743"/>
      <c r="C311" s="743"/>
      <c r="D311" s="743"/>
      <c r="E311" s="743"/>
      <c r="F311" s="743"/>
      <c r="G311" s="743"/>
      <c r="H311" s="743"/>
      <c r="I311" s="743"/>
      <c r="J311" s="744"/>
    </row>
    <row r="312" spans="1:10" ht="12.75" customHeight="1" x14ac:dyDescent="0.2">
      <c r="A312" s="742"/>
      <c r="B312" s="743"/>
      <c r="C312" s="743"/>
      <c r="D312" s="743"/>
      <c r="E312" s="743"/>
      <c r="F312" s="743"/>
      <c r="G312" s="743"/>
      <c r="H312" s="743"/>
      <c r="I312" s="743"/>
      <c r="J312" s="744"/>
    </row>
    <row r="313" spans="1:10" ht="12.75" customHeight="1" x14ac:dyDescent="0.2">
      <c r="A313" s="742"/>
      <c r="B313" s="743"/>
      <c r="C313" s="743"/>
      <c r="D313" s="743"/>
      <c r="E313" s="743"/>
      <c r="F313" s="743"/>
      <c r="G313" s="743"/>
      <c r="H313" s="743"/>
      <c r="I313" s="743"/>
      <c r="J313" s="744"/>
    </row>
    <row r="314" spans="1:10" ht="12.75" customHeight="1" x14ac:dyDescent="0.2">
      <c r="A314" s="742"/>
      <c r="B314" s="743"/>
      <c r="C314" s="743"/>
      <c r="D314" s="743"/>
      <c r="E314" s="743"/>
      <c r="F314" s="743"/>
      <c r="G314" s="743"/>
      <c r="H314" s="743"/>
      <c r="I314" s="743"/>
      <c r="J314" s="744"/>
    </row>
    <row r="315" spans="1:10" ht="12.75" customHeight="1" x14ac:dyDescent="0.2">
      <c r="A315" s="742"/>
      <c r="B315" s="743"/>
      <c r="C315" s="743"/>
      <c r="D315" s="743"/>
      <c r="E315" s="743"/>
      <c r="F315" s="743"/>
      <c r="G315" s="743"/>
      <c r="H315" s="743"/>
      <c r="I315" s="743"/>
      <c r="J315" s="744"/>
    </row>
    <row r="316" spans="1:10" ht="12.75" customHeight="1" x14ac:dyDescent="0.2">
      <c r="A316" s="742"/>
      <c r="B316" s="743"/>
      <c r="C316" s="743"/>
      <c r="D316" s="743"/>
      <c r="E316" s="743"/>
      <c r="F316" s="743"/>
      <c r="G316" s="743"/>
      <c r="H316" s="743"/>
      <c r="I316" s="743"/>
      <c r="J316" s="744"/>
    </row>
    <row r="317" spans="1:10" ht="12.75" customHeight="1" x14ac:dyDescent="0.2">
      <c r="A317" s="742"/>
      <c r="B317" s="743"/>
      <c r="C317" s="743"/>
      <c r="D317" s="743"/>
      <c r="E317" s="743"/>
      <c r="F317" s="743"/>
      <c r="G317" s="743"/>
      <c r="H317" s="743"/>
      <c r="I317" s="743"/>
      <c r="J317" s="744"/>
    </row>
    <row r="318" spans="1:10" ht="12.75" customHeight="1" x14ac:dyDescent="0.2">
      <c r="A318" s="742"/>
      <c r="B318" s="743"/>
      <c r="C318" s="743"/>
      <c r="D318" s="743"/>
      <c r="E318" s="743"/>
      <c r="F318" s="743"/>
      <c r="G318" s="743"/>
      <c r="H318" s="743"/>
      <c r="I318" s="743"/>
      <c r="J318" s="744"/>
    </row>
    <row r="319" spans="1:10" ht="12.75" customHeight="1" x14ac:dyDescent="0.2">
      <c r="A319" s="742"/>
      <c r="B319" s="743"/>
      <c r="C319" s="743"/>
      <c r="D319" s="743"/>
      <c r="E319" s="743"/>
      <c r="F319" s="743"/>
      <c r="G319" s="743"/>
      <c r="H319" s="743"/>
      <c r="I319" s="743"/>
      <c r="J319" s="744"/>
    </row>
    <row r="320" spans="1:10" ht="12.75" customHeight="1" x14ac:dyDescent="0.2">
      <c r="A320" s="742"/>
      <c r="B320" s="743"/>
      <c r="C320" s="743"/>
      <c r="D320" s="743"/>
      <c r="E320" s="743"/>
      <c r="F320" s="743"/>
      <c r="G320" s="743"/>
      <c r="H320" s="743"/>
      <c r="I320" s="743"/>
      <c r="J320" s="744"/>
    </row>
    <row r="321" spans="1:10" ht="12.75" customHeight="1" x14ac:dyDescent="0.2">
      <c r="A321" s="742"/>
      <c r="B321" s="743"/>
      <c r="C321" s="743"/>
      <c r="D321" s="743"/>
      <c r="E321" s="743"/>
      <c r="F321" s="743"/>
      <c r="G321" s="743"/>
      <c r="H321" s="743"/>
      <c r="I321" s="743"/>
      <c r="J321" s="744"/>
    </row>
    <row r="322" spans="1:10" ht="12.75" customHeight="1" x14ac:dyDescent="0.2">
      <c r="A322" s="742"/>
      <c r="B322" s="743"/>
      <c r="C322" s="743"/>
      <c r="D322" s="743"/>
      <c r="E322" s="743"/>
      <c r="F322" s="743"/>
      <c r="G322" s="743"/>
      <c r="H322" s="743"/>
      <c r="I322" s="743"/>
      <c r="J322" s="744"/>
    </row>
    <row r="323" spans="1:10" ht="12.75" customHeight="1" x14ac:dyDescent="0.2">
      <c r="A323" s="742"/>
      <c r="B323" s="743"/>
      <c r="C323" s="743"/>
      <c r="D323" s="743"/>
      <c r="E323" s="743"/>
      <c r="F323" s="743"/>
      <c r="G323" s="743"/>
      <c r="H323" s="743"/>
      <c r="I323" s="743"/>
      <c r="J323" s="744"/>
    </row>
    <row r="324" spans="1:10" ht="12.75" customHeight="1" x14ac:dyDescent="0.2">
      <c r="A324" s="742"/>
      <c r="B324" s="743"/>
      <c r="C324" s="743"/>
      <c r="D324" s="743"/>
      <c r="E324" s="743"/>
      <c r="F324" s="743"/>
      <c r="G324" s="743"/>
      <c r="H324" s="743"/>
      <c r="I324" s="743"/>
      <c r="J324" s="744"/>
    </row>
    <row r="325" spans="1:10" ht="12.75" customHeight="1" x14ac:dyDescent="0.2">
      <c r="A325" s="742"/>
      <c r="B325" s="743"/>
      <c r="C325" s="743"/>
      <c r="D325" s="743"/>
      <c r="E325" s="743"/>
      <c r="F325" s="743"/>
      <c r="G325" s="743"/>
      <c r="H325" s="743"/>
      <c r="I325" s="743"/>
      <c r="J325" s="744"/>
    </row>
    <row r="326" spans="1:10" ht="12.75" customHeight="1" x14ac:dyDescent="0.2">
      <c r="A326" s="742"/>
      <c r="B326" s="743"/>
      <c r="C326" s="743"/>
      <c r="D326" s="743"/>
      <c r="E326" s="743"/>
      <c r="F326" s="743"/>
      <c r="G326" s="743"/>
      <c r="H326" s="743"/>
      <c r="I326" s="743"/>
      <c r="J326" s="744"/>
    </row>
    <row r="327" spans="1:10" ht="12.75" customHeight="1" x14ac:dyDescent="0.2">
      <c r="A327" s="742"/>
      <c r="B327" s="743"/>
      <c r="C327" s="743"/>
      <c r="D327" s="743"/>
      <c r="E327" s="743"/>
      <c r="F327" s="743"/>
      <c r="G327" s="743"/>
      <c r="H327" s="743"/>
      <c r="I327" s="743"/>
      <c r="J327" s="744"/>
    </row>
    <row r="328" spans="1:10" ht="12.75" customHeight="1" x14ac:dyDescent="0.2">
      <c r="A328" s="742"/>
      <c r="B328" s="743"/>
      <c r="C328" s="743"/>
      <c r="D328" s="743"/>
      <c r="E328" s="743"/>
      <c r="F328" s="743"/>
      <c r="G328" s="743"/>
      <c r="H328" s="743"/>
      <c r="I328" s="743"/>
      <c r="J328" s="744"/>
    </row>
    <row r="329" spans="1:10" ht="12.75" customHeight="1" x14ac:dyDescent="0.2">
      <c r="A329" s="742"/>
      <c r="B329" s="743"/>
      <c r="C329" s="743"/>
      <c r="D329" s="743"/>
      <c r="E329" s="743"/>
      <c r="F329" s="743"/>
      <c r="G329" s="743"/>
      <c r="H329" s="743"/>
      <c r="I329" s="743"/>
      <c r="J329" s="744"/>
    </row>
    <row r="330" spans="1:10" ht="12.75" customHeight="1" x14ac:dyDescent="0.2">
      <c r="A330" s="742"/>
      <c r="B330" s="743"/>
      <c r="C330" s="743"/>
      <c r="D330" s="743"/>
      <c r="E330" s="743"/>
      <c r="F330" s="743"/>
      <c r="G330" s="743"/>
      <c r="H330" s="743"/>
      <c r="I330" s="743"/>
      <c r="J330" s="744"/>
    </row>
    <row r="331" spans="1:10" ht="12.75" customHeight="1" x14ac:dyDescent="0.2">
      <c r="A331" s="742"/>
      <c r="B331" s="743"/>
      <c r="C331" s="743"/>
      <c r="D331" s="743"/>
      <c r="E331" s="743"/>
      <c r="F331" s="743"/>
      <c r="G331" s="743"/>
      <c r="H331" s="743"/>
      <c r="I331" s="743"/>
      <c r="J331" s="744"/>
    </row>
    <row r="332" spans="1:10" ht="12.75" customHeight="1" x14ac:dyDescent="0.2">
      <c r="A332" s="742"/>
      <c r="B332" s="743"/>
      <c r="C332" s="743"/>
      <c r="D332" s="743"/>
      <c r="E332" s="743"/>
      <c r="F332" s="743"/>
      <c r="G332" s="743"/>
      <c r="H332" s="743"/>
      <c r="I332" s="743"/>
      <c r="J332" s="744"/>
    </row>
    <row r="333" spans="1:10" ht="12.75" customHeight="1" x14ac:dyDescent="0.2">
      <c r="A333" s="742"/>
      <c r="B333" s="743"/>
      <c r="C333" s="743"/>
      <c r="D333" s="743"/>
      <c r="E333" s="743"/>
      <c r="F333" s="743"/>
      <c r="G333" s="743"/>
      <c r="H333" s="743"/>
      <c r="I333" s="743"/>
      <c r="J333" s="744"/>
    </row>
    <row r="334" spans="1:10" ht="12.75" customHeight="1" x14ac:dyDescent="0.2">
      <c r="A334" s="742"/>
      <c r="B334" s="743"/>
      <c r="C334" s="743"/>
      <c r="D334" s="743"/>
      <c r="E334" s="743"/>
      <c r="F334" s="743"/>
      <c r="G334" s="743"/>
      <c r="H334" s="743"/>
      <c r="I334" s="743"/>
      <c r="J334" s="744"/>
    </row>
    <row r="335" spans="1:10" ht="12.75" customHeight="1" x14ac:dyDescent="0.2">
      <c r="A335" s="742"/>
      <c r="B335" s="743"/>
      <c r="C335" s="743"/>
      <c r="D335" s="743"/>
      <c r="E335" s="743"/>
      <c r="F335" s="743"/>
      <c r="G335" s="743"/>
      <c r="H335" s="743"/>
      <c r="I335" s="743"/>
      <c r="J335" s="744"/>
    </row>
    <row r="336" spans="1:10" ht="12.75" customHeight="1" x14ac:dyDescent="0.2">
      <c r="A336" s="742"/>
      <c r="B336" s="743"/>
      <c r="C336" s="743"/>
      <c r="D336" s="743"/>
      <c r="E336" s="743"/>
      <c r="F336" s="743"/>
      <c r="G336" s="743"/>
      <c r="H336" s="743"/>
      <c r="I336" s="743"/>
      <c r="J336" s="744"/>
    </row>
    <row r="337" spans="1:10" s="61" customFormat="1" x14ac:dyDescent="0.2">
      <c r="A337" s="55"/>
      <c r="B337" s="56"/>
      <c r="C337" s="57"/>
      <c r="D337" s="58"/>
      <c r="E337" s="58"/>
      <c r="F337" s="58"/>
      <c r="G337" s="58"/>
      <c r="H337" s="59"/>
      <c r="I337" s="57"/>
      <c r="J337" s="60"/>
    </row>
    <row r="338" spans="1:10" s="61" customFormat="1" ht="25.5" customHeight="1" x14ac:dyDescent="0.2">
      <c r="A338" s="751" t="s">
        <v>196</v>
      </c>
      <c r="B338" s="752"/>
      <c r="C338" s="752"/>
      <c r="D338" s="752"/>
      <c r="E338" s="752"/>
      <c r="F338" s="753"/>
      <c r="G338" s="754"/>
      <c r="H338" s="754"/>
      <c r="I338" s="754"/>
      <c r="J338" s="755"/>
    </row>
    <row r="339" spans="1:10" s="61" customFormat="1" ht="12.75" customHeight="1" x14ac:dyDescent="0.2">
      <c r="A339" s="475" t="s">
        <v>510</v>
      </c>
      <c r="B339" s="476"/>
      <c r="C339" s="476"/>
      <c r="D339" s="476"/>
      <c r="E339" s="476"/>
      <c r="F339" s="746"/>
      <c r="G339" s="746"/>
      <c r="H339" s="746"/>
      <c r="I339" s="746"/>
      <c r="J339" s="747"/>
    </row>
    <row r="340" spans="1:10" ht="12.75" customHeight="1" x14ac:dyDescent="0.2">
      <c r="A340" s="721" t="s">
        <v>367</v>
      </c>
      <c r="B340" s="722"/>
      <c r="C340" s="722"/>
      <c r="D340" s="722"/>
      <c r="E340" s="722"/>
      <c r="F340" s="722"/>
      <c r="G340" s="722"/>
      <c r="H340" s="722"/>
      <c r="I340" s="722"/>
      <c r="J340" s="723"/>
    </row>
    <row r="341" spans="1:10" ht="12.75" customHeight="1" x14ac:dyDescent="0.2">
      <c r="A341" s="724"/>
      <c r="B341" s="725"/>
      <c r="C341" s="725"/>
      <c r="D341" s="725"/>
      <c r="E341" s="725"/>
      <c r="F341" s="725"/>
      <c r="G341" s="725"/>
      <c r="H341" s="725"/>
      <c r="I341" s="725"/>
      <c r="J341" s="726"/>
    </row>
    <row r="342" spans="1:10" ht="12.75" customHeight="1" x14ac:dyDescent="0.2">
      <c r="A342" s="724"/>
      <c r="B342" s="725"/>
      <c r="C342" s="725"/>
      <c r="D342" s="725"/>
      <c r="E342" s="725"/>
      <c r="F342" s="725"/>
      <c r="G342" s="725"/>
      <c r="H342" s="725"/>
      <c r="I342" s="725"/>
      <c r="J342" s="726"/>
    </row>
    <row r="343" spans="1:10" ht="15" customHeight="1" x14ac:dyDescent="0.2">
      <c r="A343" s="727"/>
      <c r="B343" s="728"/>
      <c r="C343" s="728"/>
      <c r="D343" s="728"/>
      <c r="E343" s="728"/>
      <c r="F343" s="728"/>
      <c r="G343" s="728"/>
      <c r="H343" s="728"/>
      <c r="I343" s="728"/>
      <c r="J343" s="729"/>
    </row>
    <row r="344" spans="1:10" ht="12.75" customHeight="1" x14ac:dyDescent="0.2">
      <c r="A344" s="742"/>
      <c r="B344" s="743"/>
      <c r="C344" s="743"/>
      <c r="D344" s="743"/>
      <c r="E344" s="743"/>
      <c r="F344" s="743"/>
      <c r="G344" s="743"/>
      <c r="H344" s="743"/>
      <c r="I344" s="743"/>
      <c r="J344" s="744"/>
    </row>
    <row r="345" spans="1:10" ht="12.75" customHeight="1" x14ac:dyDescent="0.2">
      <c r="A345" s="742"/>
      <c r="B345" s="743"/>
      <c r="C345" s="743"/>
      <c r="D345" s="743"/>
      <c r="E345" s="743"/>
      <c r="F345" s="743"/>
      <c r="G345" s="743"/>
      <c r="H345" s="743"/>
      <c r="I345" s="743"/>
      <c r="J345" s="744"/>
    </row>
    <row r="346" spans="1:10" ht="12.75" customHeight="1" x14ac:dyDescent="0.2">
      <c r="A346" s="742"/>
      <c r="B346" s="743"/>
      <c r="C346" s="743"/>
      <c r="D346" s="743"/>
      <c r="E346" s="743"/>
      <c r="F346" s="743"/>
      <c r="G346" s="743"/>
      <c r="H346" s="743"/>
      <c r="I346" s="743"/>
      <c r="J346" s="744"/>
    </row>
    <row r="347" spans="1:10" ht="12.75" customHeight="1" x14ac:dyDescent="0.2">
      <c r="A347" s="742"/>
      <c r="B347" s="743"/>
      <c r="C347" s="743"/>
      <c r="D347" s="743"/>
      <c r="E347" s="743"/>
      <c r="F347" s="743"/>
      <c r="G347" s="743"/>
      <c r="H347" s="743"/>
      <c r="I347" s="743"/>
      <c r="J347" s="744"/>
    </row>
    <row r="348" spans="1:10" ht="12.75" customHeight="1" x14ac:dyDescent="0.2">
      <c r="A348" s="742"/>
      <c r="B348" s="743"/>
      <c r="C348" s="743"/>
      <c r="D348" s="743"/>
      <c r="E348" s="743"/>
      <c r="F348" s="743"/>
      <c r="G348" s="743"/>
      <c r="H348" s="743"/>
      <c r="I348" s="743"/>
      <c r="J348" s="744"/>
    </row>
    <row r="349" spans="1:10" ht="12.75" customHeight="1" x14ac:dyDescent="0.2">
      <c r="A349" s="742"/>
      <c r="B349" s="743"/>
      <c r="C349" s="743"/>
      <c r="D349" s="743"/>
      <c r="E349" s="743"/>
      <c r="F349" s="743"/>
      <c r="G349" s="743"/>
      <c r="H349" s="743"/>
      <c r="I349" s="743"/>
      <c r="J349" s="744"/>
    </row>
    <row r="350" spans="1:10" ht="12.75" customHeight="1" x14ac:dyDescent="0.2">
      <c r="A350" s="742"/>
      <c r="B350" s="743"/>
      <c r="C350" s="743"/>
      <c r="D350" s="743"/>
      <c r="E350" s="743"/>
      <c r="F350" s="743"/>
      <c r="G350" s="743"/>
      <c r="H350" s="743"/>
      <c r="I350" s="743"/>
      <c r="J350" s="744"/>
    </row>
    <row r="351" spans="1:10" ht="12.75" customHeight="1" x14ac:dyDescent="0.2">
      <c r="A351" s="742"/>
      <c r="B351" s="743"/>
      <c r="C351" s="743"/>
      <c r="D351" s="743"/>
      <c r="E351" s="743"/>
      <c r="F351" s="743"/>
      <c r="G351" s="743"/>
      <c r="H351" s="743"/>
      <c r="I351" s="743"/>
      <c r="J351" s="744"/>
    </row>
    <row r="352" spans="1:10" ht="12.75" customHeight="1" x14ac:dyDescent="0.2">
      <c r="A352" s="742"/>
      <c r="B352" s="743"/>
      <c r="C352" s="743"/>
      <c r="D352" s="743"/>
      <c r="E352" s="743"/>
      <c r="F352" s="743"/>
      <c r="G352" s="743"/>
      <c r="H352" s="743"/>
      <c r="I352" s="743"/>
      <c r="J352" s="744"/>
    </row>
    <row r="353" spans="1:10" ht="12.75" customHeight="1" x14ac:dyDescent="0.2">
      <c r="A353" s="742"/>
      <c r="B353" s="743"/>
      <c r="C353" s="743"/>
      <c r="D353" s="743"/>
      <c r="E353" s="743"/>
      <c r="F353" s="743"/>
      <c r="G353" s="743"/>
      <c r="H353" s="743"/>
      <c r="I353" s="743"/>
      <c r="J353" s="744"/>
    </row>
    <row r="354" spans="1:10" ht="12.75" customHeight="1" x14ac:dyDescent="0.2">
      <c r="A354" s="742"/>
      <c r="B354" s="743"/>
      <c r="C354" s="743"/>
      <c r="D354" s="743"/>
      <c r="E354" s="743"/>
      <c r="F354" s="743"/>
      <c r="G354" s="743"/>
      <c r="H354" s="743"/>
      <c r="I354" s="743"/>
      <c r="J354" s="744"/>
    </row>
    <row r="355" spans="1:10" ht="12.75" customHeight="1" x14ac:dyDescent="0.2">
      <c r="A355" s="742"/>
      <c r="B355" s="743"/>
      <c r="C355" s="743"/>
      <c r="D355" s="743"/>
      <c r="E355" s="743"/>
      <c r="F355" s="743"/>
      <c r="G355" s="743"/>
      <c r="H355" s="743"/>
      <c r="I355" s="743"/>
      <c r="J355" s="744"/>
    </row>
    <row r="356" spans="1:10" ht="12.75" customHeight="1" x14ac:dyDescent="0.2">
      <c r="A356" s="742"/>
      <c r="B356" s="743"/>
      <c r="C356" s="743"/>
      <c r="D356" s="743"/>
      <c r="E356" s="743"/>
      <c r="F356" s="743"/>
      <c r="G356" s="743"/>
      <c r="H356" s="743"/>
      <c r="I356" s="743"/>
      <c r="J356" s="744"/>
    </row>
    <row r="357" spans="1:10" ht="12.75" customHeight="1" x14ac:dyDescent="0.2">
      <c r="A357" s="742"/>
      <c r="B357" s="743"/>
      <c r="C357" s="743"/>
      <c r="D357" s="743"/>
      <c r="E357" s="743"/>
      <c r="F357" s="743"/>
      <c r="G357" s="743"/>
      <c r="H357" s="743"/>
      <c r="I357" s="743"/>
      <c r="J357" s="744"/>
    </row>
    <row r="358" spans="1:10" ht="12.75" customHeight="1" x14ac:dyDescent="0.2">
      <c r="A358" s="742"/>
      <c r="B358" s="743"/>
      <c r="C358" s="743"/>
      <c r="D358" s="743"/>
      <c r="E358" s="743"/>
      <c r="F358" s="743"/>
      <c r="G358" s="743"/>
      <c r="H358" s="743"/>
      <c r="I358" s="743"/>
      <c r="J358" s="744"/>
    </row>
    <row r="359" spans="1:10" ht="12.75" customHeight="1" x14ac:dyDescent="0.2">
      <c r="A359" s="742"/>
      <c r="B359" s="743"/>
      <c r="C359" s="743"/>
      <c r="D359" s="743"/>
      <c r="E359" s="743"/>
      <c r="F359" s="743"/>
      <c r="G359" s="743"/>
      <c r="H359" s="743"/>
      <c r="I359" s="743"/>
      <c r="J359" s="744"/>
    </row>
    <row r="360" spans="1:10" ht="12.75" customHeight="1" x14ac:dyDescent="0.2">
      <c r="A360" s="742"/>
      <c r="B360" s="743"/>
      <c r="C360" s="743"/>
      <c r="D360" s="743"/>
      <c r="E360" s="743"/>
      <c r="F360" s="743"/>
      <c r="G360" s="743"/>
      <c r="H360" s="743"/>
      <c r="I360" s="743"/>
      <c r="J360" s="744"/>
    </row>
    <row r="361" spans="1:10" ht="12.75" customHeight="1" x14ac:dyDescent="0.2">
      <c r="A361" s="742"/>
      <c r="B361" s="743"/>
      <c r="C361" s="743"/>
      <c r="D361" s="743"/>
      <c r="E361" s="743"/>
      <c r="F361" s="743"/>
      <c r="G361" s="743"/>
      <c r="H361" s="743"/>
      <c r="I361" s="743"/>
      <c r="J361" s="744"/>
    </row>
    <row r="362" spans="1:10" ht="12.75" customHeight="1" x14ac:dyDescent="0.2">
      <c r="A362" s="742"/>
      <c r="B362" s="743"/>
      <c r="C362" s="743"/>
      <c r="D362" s="743"/>
      <c r="E362" s="743"/>
      <c r="F362" s="743"/>
      <c r="G362" s="743"/>
      <c r="H362" s="743"/>
      <c r="I362" s="743"/>
      <c r="J362" s="744"/>
    </row>
    <row r="363" spans="1:10" ht="12.75" customHeight="1" x14ac:dyDescent="0.2">
      <c r="A363" s="742"/>
      <c r="B363" s="743"/>
      <c r="C363" s="743"/>
      <c r="D363" s="743"/>
      <c r="E363" s="743"/>
      <c r="F363" s="743"/>
      <c r="G363" s="743"/>
      <c r="H363" s="743"/>
      <c r="I363" s="743"/>
      <c r="J363" s="744"/>
    </row>
    <row r="364" spans="1:10" ht="12.75" customHeight="1" x14ac:dyDescent="0.2">
      <c r="A364" s="742"/>
      <c r="B364" s="743"/>
      <c r="C364" s="743"/>
      <c r="D364" s="743"/>
      <c r="E364" s="743"/>
      <c r="F364" s="743"/>
      <c r="G364" s="743"/>
      <c r="H364" s="743"/>
      <c r="I364" s="743"/>
      <c r="J364" s="744"/>
    </row>
    <row r="365" spans="1:10" ht="12.75" customHeight="1" x14ac:dyDescent="0.2">
      <c r="A365" s="742"/>
      <c r="B365" s="743"/>
      <c r="C365" s="743"/>
      <c r="D365" s="743"/>
      <c r="E365" s="743"/>
      <c r="F365" s="743"/>
      <c r="G365" s="743"/>
      <c r="H365" s="743"/>
      <c r="I365" s="743"/>
      <c r="J365" s="744"/>
    </row>
    <row r="366" spans="1:10" ht="12.75" customHeight="1" x14ac:dyDescent="0.2">
      <c r="A366" s="742"/>
      <c r="B366" s="743"/>
      <c r="C366" s="743"/>
      <c r="D366" s="743"/>
      <c r="E366" s="743"/>
      <c r="F366" s="743"/>
      <c r="G366" s="743"/>
      <c r="H366" s="743"/>
      <c r="I366" s="743"/>
      <c r="J366" s="744"/>
    </row>
    <row r="367" spans="1:10" ht="12.75" customHeight="1" x14ac:dyDescent="0.2">
      <c r="A367" s="742"/>
      <c r="B367" s="743"/>
      <c r="C367" s="743"/>
      <c r="D367" s="743"/>
      <c r="E367" s="743"/>
      <c r="F367" s="743"/>
      <c r="G367" s="743"/>
      <c r="H367" s="743"/>
      <c r="I367" s="743"/>
      <c r="J367" s="744"/>
    </row>
    <row r="368" spans="1:10" ht="12.75" customHeight="1" x14ac:dyDescent="0.2">
      <c r="A368" s="742"/>
      <c r="B368" s="743"/>
      <c r="C368" s="743"/>
      <c r="D368" s="743"/>
      <c r="E368" s="743"/>
      <c r="F368" s="743"/>
      <c r="G368" s="743"/>
      <c r="H368" s="743"/>
      <c r="I368" s="743"/>
      <c r="J368" s="744"/>
    </row>
    <row r="369" spans="1:10" ht="12.75" customHeight="1" x14ac:dyDescent="0.2">
      <c r="A369" s="742"/>
      <c r="B369" s="743"/>
      <c r="C369" s="743"/>
      <c r="D369" s="743"/>
      <c r="E369" s="743"/>
      <c r="F369" s="743"/>
      <c r="G369" s="743"/>
      <c r="H369" s="743"/>
      <c r="I369" s="743"/>
      <c r="J369" s="744"/>
    </row>
    <row r="370" spans="1:10" ht="12.75" customHeight="1" x14ac:dyDescent="0.2">
      <c r="A370" s="742"/>
      <c r="B370" s="743"/>
      <c r="C370" s="743"/>
      <c r="D370" s="743"/>
      <c r="E370" s="743"/>
      <c r="F370" s="743"/>
      <c r="G370" s="743"/>
      <c r="H370" s="743"/>
      <c r="I370" s="743"/>
      <c r="J370" s="744"/>
    </row>
    <row r="371" spans="1:10" ht="12.75" customHeight="1" x14ac:dyDescent="0.2">
      <c r="A371" s="742"/>
      <c r="B371" s="743"/>
      <c r="C371" s="743"/>
      <c r="D371" s="743"/>
      <c r="E371" s="743"/>
      <c r="F371" s="743"/>
      <c r="G371" s="743"/>
      <c r="H371" s="743"/>
      <c r="I371" s="743"/>
      <c r="J371" s="744"/>
    </row>
    <row r="372" spans="1:10" ht="12.75" customHeight="1" x14ac:dyDescent="0.2">
      <c r="A372" s="742"/>
      <c r="B372" s="743"/>
      <c r="C372" s="743"/>
      <c r="D372" s="743"/>
      <c r="E372" s="743"/>
      <c r="F372" s="743"/>
      <c r="G372" s="743"/>
      <c r="H372" s="743"/>
      <c r="I372" s="743"/>
      <c r="J372" s="744"/>
    </row>
    <row r="373" spans="1:10" ht="12.75" customHeight="1" x14ac:dyDescent="0.2">
      <c r="A373" s="742"/>
      <c r="B373" s="743"/>
      <c r="C373" s="743"/>
      <c r="D373" s="743"/>
      <c r="E373" s="743"/>
      <c r="F373" s="743"/>
      <c r="G373" s="743"/>
      <c r="H373" s="743"/>
      <c r="I373" s="743"/>
      <c r="J373" s="744"/>
    </row>
    <row r="374" spans="1:10" ht="12.75" customHeight="1" x14ac:dyDescent="0.2">
      <c r="A374" s="742"/>
      <c r="B374" s="743"/>
      <c r="C374" s="743"/>
      <c r="D374" s="743"/>
      <c r="E374" s="743"/>
      <c r="F374" s="743"/>
      <c r="G374" s="743"/>
      <c r="H374" s="743"/>
      <c r="I374" s="743"/>
      <c r="J374" s="744"/>
    </row>
    <row r="375" spans="1:10" ht="12.75" customHeight="1" x14ac:dyDescent="0.2">
      <c r="A375" s="742"/>
      <c r="B375" s="743"/>
      <c r="C375" s="743"/>
      <c r="D375" s="743"/>
      <c r="E375" s="743"/>
      <c r="F375" s="743"/>
      <c r="G375" s="743"/>
      <c r="H375" s="743"/>
      <c r="I375" s="743"/>
      <c r="J375" s="744"/>
    </row>
    <row r="376" spans="1:10" ht="12.75" customHeight="1" x14ac:dyDescent="0.2">
      <c r="A376" s="742"/>
      <c r="B376" s="743"/>
      <c r="C376" s="743"/>
      <c r="D376" s="743"/>
      <c r="E376" s="743"/>
      <c r="F376" s="743"/>
      <c r="G376" s="743"/>
      <c r="H376" s="743"/>
      <c r="I376" s="743"/>
      <c r="J376" s="744"/>
    </row>
    <row r="377" spans="1:10" ht="12.75" customHeight="1" x14ac:dyDescent="0.2">
      <c r="A377" s="742"/>
      <c r="B377" s="743"/>
      <c r="C377" s="743"/>
      <c r="D377" s="743"/>
      <c r="E377" s="743"/>
      <c r="F377" s="743"/>
      <c r="G377" s="743"/>
      <c r="H377" s="743"/>
      <c r="I377" s="743"/>
      <c r="J377" s="744"/>
    </row>
    <row r="378" spans="1:10" ht="12.75" customHeight="1" x14ac:dyDescent="0.2">
      <c r="A378" s="742"/>
      <c r="B378" s="743"/>
      <c r="C378" s="743"/>
      <c r="D378" s="743"/>
      <c r="E378" s="743"/>
      <c r="F378" s="743"/>
      <c r="G378" s="743"/>
      <c r="H378" s="743"/>
      <c r="I378" s="743"/>
      <c r="J378" s="744"/>
    </row>
    <row r="379" spans="1:10" s="61" customFormat="1" x14ac:dyDescent="0.2">
      <c r="A379" s="55"/>
      <c r="B379" s="56"/>
      <c r="C379" s="57"/>
      <c r="D379" s="58"/>
      <c r="E379" s="58"/>
      <c r="F379" s="58"/>
      <c r="G379" s="58"/>
      <c r="H379" s="59"/>
      <c r="I379" s="57"/>
      <c r="J379" s="60"/>
    </row>
    <row r="380" spans="1:10" s="61" customFormat="1" ht="25.5" customHeight="1" x14ac:dyDescent="0.2">
      <c r="A380" s="751" t="s">
        <v>195</v>
      </c>
      <c r="B380" s="752"/>
      <c r="C380" s="752"/>
      <c r="D380" s="752"/>
      <c r="E380" s="752"/>
      <c r="F380" s="753"/>
      <c r="G380" s="754"/>
      <c r="H380" s="754"/>
      <c r="I380" s="754"/>
      <c r="J380" s="755"/>
    </row>
    <row r="381" spans="1:10" s="61" customFormat="1" ht="12.75" customHeight="1" x14ac:dyDescent="0.2">
      <c r="A381" s="475" t="s">
        <v>510</v>
      </c>
      <c r="B381" s="476"/>
      <c r="C381" s="476"/>
      <c r="D381" s="476"/>
      <c r="E381" s="476"/>
      <c r="F381" s="746"/>
      <c r="G381" s="746"/>
      <c r="H381" s="746"/>
      <c r="I381" s="746"/>
      <c r="J381" s="747"/>
    </row>
    <row r="382" spans="1:10" ht="12.75" customHeight="1" x14ac:dyDescent="0.2">
      <c r="A382" s="721" t="s">
        <v>367</v>
      </c>
      <c r="B382" s="722"/>
      <c r="C382" s="722"/>
      <c r="D382" s="722"/>
      <c r="E382" s="722"/>
      <c r="F382" s="722"/>
      <c r="G382" s="722"/>
      <c r="H382" s="722"/>
      <c r="I382" s="722"/>
      <c r="J382" s="723"/>
    </row>
    <row r="383" spans="1:10" ht="12.75" customHeight="1" x14ac:dyDescent="0.2">
      <c r="A383" s="724"/>
      <c r="B383" s="725"/>
      <c r="C383" s="725"/>
      <c r="D383" s="725"/>
      <c r="E383" s="725"/>
      <c r="F383" s="725"/>
      <c r="G383" s="725"/>
      <c r="H383" s="725"/>
      <c r="I383" s="725"/>
      <c r="J383" s="726"/>
    </row>
    <row r="384" spans="1:10" ht="12.75" customHeight="1" x14ac:dyDescent="0.2">
      <c r="A384" s="724"/>
      <c r="B384" s="725"/>
      <c r="C384" s="725"/>
      <c r="D384" s="725"/>
      <c r="E384" s="725"/>
      <c r="F384" s="725"/>
      <c r="G384" s="725"/>
      <c r="H384" s="725"/>
      <c r="I384" s="725"/>
      <c r="J384" s="726"/>
    </row>
    <row r="385" spans="1:10" ht="15" customHeight="1" x14ac:dyDescent="0.2">
      <c r="A385" s="727"/>
      <c r="B385" s="728"/>
      <c r="C385" s="728"/>
      <c r="D385" s="728"/>
      <c r="E385" s="728"/>
      <c r="F385" s="728"/>
      <c r="G385" s="728"/>
      <c r="H385" s="728"/>
      <c r="I385" s="728"/>
      <c r="J385" s="729"/>
    </row>
    <row r="386" spans="1:10" ht="12.75" customHeight="1" x14ac:dyDescent="0.2">
      <c r="A386" s="742"/>
      <c r="B386" s="743"/>
      <c r="C386" s="743"/>
      <c r="D386" s="743"/>
      <c r="E386" s="743"/>
      <c r="F386" s="743"/>
      <c r="G386" s="743"/>
      <c r="H386" s="743"/>
      <c r="I386" s="743"/>
      <c r="J386" s="744"/>
    </row>
    <row r="387" spans="1:10" ht="12.75" customHeight="1" x14ac:dyDescent="0.2">
      <c r="A387" s="742"/>
      <c r="B387" s="743"/>
      <c r="C387" s="743"/>
      <c r="D387" s="743"/>
      <c r="E387" s="743"/>
      <c r="F387" s="743"/>
      <c r="G387" s="743"/>
      <c r="H387" s="743"/>
      <c r="I387" s="743"/>
      <c r="J387" s="744"/>
    </row>
    <row r="388" spans="1:10" ht="12.75" customHeight="1" x14ac:dyDescent="0.2">
      <c r="A388" s="742"/>
      <c r="B388" s="743"/>
      <c r="C388" s="743"/>
      <c r="D388" s="743"/>
      <c r="E388" s="743"/>
      <c r="F388" s="743"/>
      <c r="G388" s="743"/>
      <c r="H388" s="743"/>
      <c r="I388" s="743"/>
      <c r="J388" s="744"/>
    </row>
    <row r="389" spans="1:10" ht="12.75" customHeight="1" x14ac:dyDescent="0.2">
      <c r="A389" s="742"/>
      <c r="B389" s="743"/>
      <c r="C389" s="743"/>
      <c r="D389" s="743"/>
      <c r="E389" s="743"/>
      <c r="F389" s="743"/>
      <c r="G389" s="743"/>
      <c r="H389" s="743"/>
      <c r="I389" s="743"/>
      <c r="J389" s="744"/>
    </row>
    <row r="390" spans="1:10" ht="12.75" customHeight="1" x14ac:dyDescent="0.2">
      <c r="A390" s="742"/>
      <c r="B390" s="743"/>
      <c r="C390" s="743"/>
      <c r="D390" s="743"/>
      <c r="E390" s="743"/>
      <c r="F390" s="743"/>
      <c r="G390" s="743"/>
      <c r="H390" s="743"/>
      <c r="I390" s="743"/>
      <c r="J390" s="744"/>
    </row>
    <row r="391" spans="1:10" ht="12.75" customHeight="1" x14ac:dyDescent="0.2">
      <c r="A391" s="742"/>
      <c r="B391" s="743"/>
      <c r="C391" s="743"/>
      <c r="D391" s="743"/>
      <c r="E391" s="743"/>
      <c r="F391" s="743"/>
      <c r="G391" s="743"/>
      <c r="H391" s="743"/>
      <c r="I391" s="743"/>
      <c r="J391" s="744"/>
    </row>
    <row r="392" spans="1:10" ht="12.75" customHeight="1" x14ac:dyDescent="0.2">
      <c r="A392" s="742"/>
      <c r="B392" s="743"/>
      <c r="C392" s="743"/>
      <c r="D392" s="743"/>
      <c r="E392" s="743"/>
      <c r="F392" s="743"/>
      <c r="G392" s="743"/>
      <c r="H392" s="743"/>
      <c r="I392" s="743"/>
      <c r="J392" s="744"/>
    </row>
    <row r="393" spans="1:10" ht="12.75" customHeight="1" x14ac:dyDescent="0.2">
      <c r="A393" s="742"/>
      <c r="B393" s="743"/>
      <c r="C393" s="743"/>
      <c r="D393" s="743"/>
      <c r="E393" s="743"/>
      <c r="F393" s="743"/>
      <c r="G393" s="743"/>
      <c r="H393" s="743"/>
      <c r="I393" s="743"/>
      <c r="J393" s="744"/>
    </row>
    <row r="394" spans="1:10" ht="12.75" customHeight="1" x14ac:dyDescent="0.2">
      <c r="A394" s="742"/>
      <c r="B394" s="743"/>
      <c r="C394" s="743"/>
      <c r="D394" s="743"/>
      <c r="E394" s="743"/>
      <c r="F394" s="743"/>
      <c r="G394" s="743"/>
      <c r="H394" s="743"/>
      <c r="I394" s="743"/>
      <c r="J394" s="744"/>
    </row>
    <row r="395" spans="1:10" ht="12.75" customHeight="1" x14ac:dyDescent="0.2">
      <c r="A395" s="742"/>
      <c r="B395" s="743"/>
      <c r="C395" s="743"/>
      <c r="D395" s="743"/>
      <c r="E395" s="743"/>
      <c r="F395" s="743"/>
      <c r="G395" s="743"/>
      <c r="H395" s="743"/>
      <c r="I395" s="743"/>
      <c r="J395" s="744"/>
    </row>
    <row r="396" spans="1:10" ht="12.75" customHeight="1" x14ac:dyDescent="0.2">
      <c r="A396" s="742"/>
      <c r="B396" s="743"/>
      <c r="C396" s="743"/>
      <c r="D396" s="743"/>
      <c r="E396" s="743"/>
      <c r="F396" s="743"/>
      <c r="G396" s="743"/>
      <c r="H396" s="743"/>
      <c r="I396" s="743"/>
      <c r="J396" s="744"/>
    </row>
    <row r="397" spans="1:10" ht="12.75" customHeight="1" x14ac:dyDescent="0.2">
      <c r="A397" s="742"/>
      <c r="B397" s="743"/>
      <c r="C397" s="743"/>
      <c r="D397" s="743"/>
      <c r="E397" s="743"/>
      <c r="F397" s="743"/>
      <c r="G397" s="743"/>
      <c r="H397" s="743"/>
      <c r="I397" s="743"/>
      <c r="J397" s="744"/>
    </row>
    <row r="398" spans="1:10" ht="12.75" customHeight="1" x14ac:dyDescent="0.2">
      <c r="A398" s="742"/>
      <c r="B398" s="743"/>
      <c r="C398" s="743"/>
      <c r="D398" s="743"/>
      <c r="E398" s="743"/>
      <c r="F398" s="743"/>
      <c r="G398" s="743"/>
      <c r="H398" s="743"/>
      <c r="I398" s="743"/>
      <c r="J398" s="744"/>
    </row>
    <row r="399" spans="1:10" ht="12.75" customHeight="1" x14ac:dyDescent="0.2">
      <c r="A399" s="742"/>
      <c r="B399" s="743"/>
      <c r="C399" s="743"/>
      <c r="D399" s="743"/>
      <c r="E399" s="743"/>
      <c r="F399" s="743"/>
      <c r="G399" s="743"/>
      <c r="H399" s="743"/>
      <c r="I399" s="743"/>
      <c r="J399" s="744"/>
    </row>
    <row r="400" spans="1:10" ht="12.75" customHeight="1" x14ac:dyDescent="0.2">
      <c r="A400" s="742"/>
      <c r="B400" s="743"/>
      <c r="C400" s="743"/>
      <c r="D400" s="743"/>
      <c r="E400" s="743"/>
      <c r="F400" s="743"/>
      <c r="G400" s="743"/>
      <c r="H400" s="743"/>
      <c r="I400" s="743"/>
      <c r="J400" s="744"/>
    </row>
    <row r="401" spans="1:10" ht="12.75" customHeight="1" x14ac:dyDescent="0.2">
      <c r="A401" s="742"/>
      <c r="B401" s="743"/>
      <c r="C401" s="743"/>
      <c r="D401" s="743"/>
      <c r="E401" s="743"/>
      <c r="F401" s="743"/>
      <c r="G401" s="743"/>
      <c r="H401" s="743"/>
      <c r="I401" s="743"/>
      <c r="J401" s="744"/>
    </row>
    <row r="402" spans="1:10" ht="12.75" customHeight="1" x14ac:dyDescent="0.2">
      <c r="A402" s="742"/>
      <c r="B402" s="743"/>
      <c r="C402" s="743"/>
      <c r="D402" s="743"/>
      <c r="E402" s="743"/>
      <c r="F402" s="743"/>
      <c r="G402" s="743"/>
      <c r="H402" s="743"/>
      <c r="I402" s="743"/>
      <c r="J402" s="744"/>
    </row>
    <row r="403" spans="1:10" ht="12.75" customHeight="1" x14ac:dyDescent="0.2">
      <c r="A403" s="742"/>
      <c r="B403" s="743"/>
      <c r="C403" s="743"/>
      <c r="D403" s="743"/>
      <c r="E403" s="743"/>
      <c r="F403" s="743"/>
      <c r="G403" s="743"/>
      <c r="H403" s="743"/>
      <c r="I403" s="743"/>
      <c r="J403" s="744"/>
    </row>
    <row r="404" spans="1:10" ht="12.75" customHeight="1" x14ac:dyDescent="0.2">
      <c r="A404" s="742"/>
      <c r="B404" s="743"/>
      <c r="C404" s="743"/>
      <c r="D404" s="743"/>
      <c r="E404" s="743"/>
      <c r="F404" s="743"/>
      <c r="G404" s="743"/>
      <c r="H404" s="743"/>
      <c r="I404" s="743"/>
      <c r="J404" s="744"/>
    </row>
    <row r="405" spans="1:10" ht="12.75" customHeight="1" x14ac:dyDescent="0.2">
      <c r="A405" s="742"/>
      <c r="B405" s="743"/>
      <c r="C405" s="743"/>
      <c r="D405" s="743"/>
      <c r="E405" s="743"/>
      <c r="F405" s="743"/>
      <c r="G405" s="743"/>
      <c r="H405" s="743"/>
      <c r="I405" s="743"/>
      <c r="J405" s="744"/>
    </row>
    <row r="406" spans="1:10" ht="12.75" customHeight="1" x14ac:dyDescent="0.2">
      <c r="A406" s="742"/>
      <c r="B406" s="743"/>
      <c r="C406" s="743"/>
      <c r="D406" s="743"/>
      <c r="E406" s="743"/>
      <c r="F406" s="743"/>
      <c r="G406" s="743"/>
      <c r="H406" s="743"/>
      <c r="I406" s="743"/>
      <c r="J406" s="744"/>
    </row>
    <row r="407" spans="1:10" ht="12.75" customHeight="1" x14ac:dyDescent="0.2">
      <c r="A407" s="742"/>
      <c r="B407" s="743"/>
      <c r="C407" s="743"/>
      <c r="D407" s="743"/>
      <c r="E407" s="743"/>
      <c r="F407" s="743"/>
      <c r="G407" s="743"/>
      <c r="H407" s="743"/>
      <c r="I407" s="743"/>
      <c r="J407" s="744"/>
    </row>
    <row r="408" spans="1:10" ht="12.75" customHeight="1" x14ac:dyDescent="0.2">
      <c r="A408" s="742"/>
      <c r="B408" s="743"/>
      <c r="C408" s="743"/>
      <c r="D408" s="743"/>
      <c r="E408" s="743"/>
      <c r="F408" s="743"/>
      <c r="G408" s="743"/>
      <c r="H408" s="743"/>
      <c r="I408" s="743"/>
      <c r="J408" s="744"/>
    </row>
    <row r="409" spans="1:10" ht="12.75" customHeight="1" x14ac:dyDescent="0.2">
      <c r="A409" s="742"/>
      <c r="B409" s="743"/>
      <c r="C409" s="743"/>
      <c r="D409" s="743"/>
      <c r="E409" s="743"/>
      <c r="F409" s="743"/>
      <c r="G409" s="743"/>
      <c r="H409" s="743"/>
      <c r="I409" s="743"/>
      <c r="J409" s="744"/>
    </row>
    <row r="410" spans="1:10" ht="12.75" customHeight="1" x14ac:dyDescent="0.2">
      <c r="A410" s="742"/>
      <c r="B410" s="743"/>
      <c r="C410" s="743"/>
      <c r="D410" s="743"/>
      <c r="E410" s="743"/>
      <c r="F410" s="743"/>
      <c r="G410" s="743"/>
      <c r="H410" s="743"/>
      <c r="I410" s="743"/>
      <c r="J410" s="744"/>
    </row>
    <row r="411" spans="1:10" ht="12.75" customHeight="1" x14ac:dyDescent="0.2">
      <c r="A411" s="742"/>
      <c r="B411" s="743"/>
      <c r="C411" s="743"/>
      <c r="D411" s="743"/>
      <c r="E411" s="743"/>
      <c r="F411" s="743"/>
      <c r="G411" s="743"/>
      <c r="H411" s="743"/>
      <c r="I411" s="743"/>
      <c r="J411" s="744"/>
    </row>
    <row r="412" spans="1:10" ht="12.75" customHeight="1" x14ac:dyDescent="0.2">
      <c r="A412" s="742"/>
      <c r="B412" s="743"/>
      <c r="C412" s="743"/>
      <c r="D412" s="743"/>
      <c r="E412" s="743"/>
      <c r="F412" s="743"/>
      <c r="G412" s="743"/>
      <c r="H412" s="743"/>
      <c r="I412" s="743"/>
      <c r="J412" s="744"/>
    </row>
    <row r="413" spans="1:10" ht="12.75" customHeight="1" x14ac:dyDescent="0.2">
      <c r="A413" s="742"/>
      <c r="B413" s="743"/>
      <c r="C413" s="743"/>
      <c r="D413" s="743"/>
      <c r="E413" s="743"/>
      <c r="F413" s="743"/>
      <c r="G413" s="743"/>
      <c r="H413" s="743"/>
      <c r="I413" s="743"/>
      <c r="J413" s="744"/>
    </row>
    <row r="414" spans="1:10" ht="12.75" customHeight="1" x14ac:dyDescent="0.2">
      <c r="A414" s="742"/>
      <c r="B414" s="743"/>
      <c r="C414" s="743"/>
      <c r="D414" s="743"/>
      <c r="E414" s="743"/>
      <c r="F414" s="743"/>
      <c r="G414" s="743"/>
      <c r="H414" s="743"/>
      <c r="I414" s="743"/>
      <c r="J414" s="744"/>
    </row>
    <row r="415" spans="1:10" ht="12.75" customHeight="1" x14ac:dyDescent="0.2">
      <c r="A415" s="742"/>
      <c r="B415" s="743"/>
      <c r="C415" s="743"/>
      <c r="D415" s="743"/>
      <c r="E415" s="743"/>
      <c r="F415" s="743"/>
      <c r="G415" s="743"/>
      <c r="H415" s="743"/>
      <c r="I415" s="743"/>
      <c r="J415" s="744"/>
    </row>
    <row r="416" spans="1:10" ht="12.75" customHeight="1" x14ac:dyDescent="0.2">
      <c r="A416" s="742"/>
      <c r="B416" s="743"/>
      <c r="C416" s="743"/>
      <c r="D416" s="743"/>
      <c r="E416" s="743"/>
      <c r="F416" s="743"/>
      <c r="G416" s="743"/>
      <c r="H416" s="743"/>
      <c r="I416" s="743"/>
      <c r="J416" s="744"/>
    </row>
    <row r="417" spans="1:10" ht="12.75" customHeight="1" x14ac:dyDescent="0.2">
      <c r="A417" s="742"/>
      <c r="B417" s="743"/>
      <c r="C417" s="743"/>
      <c r="D417" s="743"/>
      <c r="E417" s="743"/>
      <c r="F417" s="743"/>
      <c r="G417" s="743"/>
      <c r="H417" s="743"/>
      <c r="I417" s="743"/>
      <c r="J417" s="744"/>
    </row>
    <row r="418" spans="1:10" ht="12.75" customHeight="1" x14ac:dyDescent="0.2">
      <c r="A418" s="742"/>
      <c r="B418" s="743"/>
      <c r="C418" s="743"/>
      <c r="D418" s="743"/>
      <c r="E418" s="743"/>
      <c r="F418" s="743"/>
      <c r="G418" s="743"/>
      <c r="H418" s="743"/>
      <c r="I418" s="743"/>
      <c r="J418" s="744"/>
    </row>
    <row r="419" spans="1:10" ht="12.75" customHeight="1" x14ac:dyDescent="0.2">
      <c r="A419" s="742"/>
      <c r="B419" s="743"/>
      <c r="C419" s="743"/>
      <c r="D419" s="743"/>
      <c r="E419" s="743"/>
      <c r="F419" s="743"/>
      <c r="G419" s="743"/>
      <c r="H419" s="743"/>
      <c r="I419" s="743"/>
      <c r="J419" s="744"/>
    </row>
    <row r="420" spans="1:10" ht="12.75" customHeight="1" thickBot="1" x14ac:dyDescent="0.25">
      <c r="A420" s="748"/>
      <c r="B420" s="749"/>
      <c r="C420" s="749"/>
      <c r="D420" s="749"/>
      <c r="E420" s="749"/>
      <c r="F420" s="749"/>
      <c r="G420" s="749"/>
      <c r="H420" s="749"/>
      <c r="I420" s="749"/>
      <c r="J420" s="750"/>
    </row>
    <row r="421" spans="1:10" ht="12.75" customHeight="1" thickTop="1" x14ac:dyDescent="0.2"/>
  </sheetData>
  <sheetProtection password="E686" sheet="1" formatRows="0"/>
  <mergeCells count="64">
    <mergeCell ref="A1:J2"/>
    <mergeCell ref="A3:J5"/>
    <mergeCell ref="A6:J11"/>
    <mergeCell ref="A13:J16"/>
    <mergeCell ref="A20:E20"/>
    <mergeCell ref="F20:J20"/>
    <mergeCell ref="A21:E21"/>
    <mergeCell ref="F21:J21"/>
    <mergeCell ref="A22:J25"/>
    <mergeCell ref="A26:J42"/>
    <mergeCell ref="A44:E44"/>
    <mergeCell ref="F44:J44"/>
    <mergeCell ref="A45:E45"/>
    <mergeCell ref="F45:J45"/>
    <mergeCell ref="A46:J49"/>
    <mergeCell ref="A50:J84"/>
    <mergeCell ref="A86:E86"/>
    <mergeCell ref="F86:J86"/>
    <mergeCell ref="A87:E87"/>
    <mergeCell ref="F87:J87"/>
    <mergeCell ref="A88:J91"/>
    <mergeCell ref="A92:J126"/>
    <mergeCell ref="A128:E128"/>
    <mergeCell ref="F128:J128"/>
    <mergeCell ref="A129:E129"/>
    <mergeCell ref="F129:J129"/>
    <mergeCell ref="A130:J133"/>
    <mergeCell ref="A134:J168"/>
    <mergeCell ref="A170:E170"/>
    <mergeCell ref="F170:J170"/>
    <mergeCell ref="A171:E171"/>
    <mergeCell ref="F171:J171"/>
    <mergeCell ref="A172:J175"/>
    <mergeCell ref="A176:J210"/>
    <mergeCell ref="A212:E212"/>
    <mergeCell ref="F212:J212"/>
    <mergeCell ref="A213:E213"/>
    <mergeCell ref="F213:J213"/>
    <mergeCell ref="A214:J217"/>
    <mergeCell ref="A218:J252"/>
    <mergeCell ref="A254:E254"/>
    <mergeCell ref="F254:J254"/>
    <mergeCell ref="A255:E255"/>
    <mergeCell ref="F255:J255"/>
    <mergeCell ref="A256:J259"/>
    <mergeCell ref="A260:J294"/>
    <mergeCell ref="A296:E296"/>
    <mergeCell ref="F296:J296"/>
    <mergeCell ref="A297:E297"/>
    <mergeCell ref="F297:J297"/>
    <mergeCell ref="A298:J301"/>
    <mergeCell ref="A302:J336"/>
    <mergeCell ref="A338:E338"/>
    <mergeCell ref="F338:J338"/>
    <mergeCell ref="A381:E381"/>
    <mergeCell ref="F381:J381"/>
    <mergeCell ref="A382:J385"/>
    <mergeCell ref="A386:J420"/>
    <mergeCell ref="A339:E339"/>
    <mergeCell ref="F339:J339"/>
    <mergeCell ref="A340:J343"/>
    <mergeCell ref="A344:J378"/>
    <mergeCell ref="A380:E380"/>
    <mergeCell ref="F380:J380"/>
  </mergeCells>
  <dataValidations disablePrompts="1" count="3">
    <dataValidation type="list" allowBlank="1" showInputMessage="1" showErrorMessage="1" sqref="E50:E84 E26:E42 E92:E126 E134:E168 E176:E210 E218:E252 E260:E294 E302:E336 E344:E378 E386:E420">
      <formula1>program</formula1>
    </dataValidation>
    <dataValidation allowBlank="1" showInputMessage="1" showErrorMessage="1" promptTitle="Total Amount" prompt="Input the total amount of these funds being used to fund this individual's salary and benefits." sqref="F50:F84 F26:F42 F92:F126 F134:F168 F176:F210 F218:F252 F260:F294 F302:F336 F344:F378 F386:F420"/>
    <dataValidation type="textLength" operator="lessThan" allowBlank="1" showInputMessage="1" showErrorMessage="1" errorTitle="Too Much Text" error="Provide a brief description using no more than 100 characters here.  A more full description should be included within the narrative (tab 9)." sqref="G50:J84 G26:J42 G92:J126 G134:J168 G176:J210 G218:J252 G260:J294 G302:J336 G344:J378 G386:J420">
      <formula1>101</formula1>
    </dataValidation>
  </dataValidations>
  <pageMargins left="0.75" right="0.75" top="1" bottom="1" header="0.5" footer="0.5"/>
  <pageSetup scale="82" fitToWidth="0" fitToHeight="0" orientation="landscape" r:id="rId1"/>
  <headerFooter alignWithMargins="0">
    <oddHeader>&amp;LFFY 2012 Consolidated Application&amp;C&amp;A&amp;R&amp;P of &amp;N</oddHeader>
  </headerFooter>
  <rowBreaks count="1" manualBreakCount="1">
    <brk id="42"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81"/>
  <sheetViews>
    <sheetView topLeftCell="A243" zoomScaleNormal="100" workbookViewId="0">
      <selection activeCell="N257" sqref="N257"/>
    </sheetView>
  </sheetViews>
  <sheetFormatPr defaultColWidth="9.140625" defaultRowHeight="12.75" x14ac:dyDescent="0.2"/>
  <cols>
    <col min="1" max="1" width="22.85546875" style="1" customWidth="1"/>
    <col min="2" max="2" width="5" style="1" customWidth="1"/>
    <col min="3" max="5" width="15.7109375" style="1" customWidth="1"/>
    <col min="6" max="6" width="18.7109375" style="1" customWidth="1"/>
    <col min="7" max="9" width="15.7109375" style="1" customWidth="1"/>
    <col min="10" max="10" width="20.5703125" style="1" customWidth="1"/>
    <col min="11" max="13" width="9.140625" style="1" customWidth="1"/>
    <col min="14" max="16384" width="9.140625" style="1"/>
  </cols>
  <sheetData>
    <row r="1" spans="1:12" ht="13.5" thickTop="1" x14ac:dyDescent="0.2">
      <c r="A1" s="756" t="s">
        <v>375</v>
      </c>
      <c r="B1" s="757"/>
      <c r="C1" s="757"/>
      <c r="D1" s="757"/>
      <c r="E1" s="757"/>
      <c r="F1" s="757"/>
      <c r="G1" s="757"/>
      <c r="H1" s="757"/>
      <c r="I1" s="757"/>
      <c r="J1" s="758"/>
    </row>
    <row r="2" spans="1:12" x14ac:dyDescent="0.2">
      <c r="A2" s="759"/>
      <c r="B2" s="760"/>
      <c r="C2" s="760"/>
      <c r="D2" s="760"/>
      <c r="E2" s="760"/>
      <c r="F2" s="760"/>
      <c r="G2" s="760"/>
      <c r="H2" s="760"/>
      <c r="I2" s="760"/>
      <c r="J2" s="761"/>
    </row>
    <row r="3" spans="1:12" x14ac:dyDescent="0.2">
      <c r="A3" s="673" t="s">
        <v>373</v>
      </c>
      <c r="B3" s="674"/>
      <c r="C3" s="674"/>
      <c r="D3" s="674"/>
      <c r="E3" s="674"/>
      <c r="F3" s="674"/>
      <c r="G3" s="674"/>
      <c r="H3" s="674"/>
      <c r="I3" s="674"/>
      <c r="J3" s="675"/>
    </row>
    <row r="4" spans="1:12" x14ac:dyDescent="0.2">
      <c r="A4" s="676"/>
      <c r="B4" s="677"/>
      <c r="C4" s="677"/>
      <c r="D4" s="677"/>
      <c r="E4" s="677"/>
      <c r="F4" s="677"/>
      <c r="G4" s="677"/>
      <c r="H4" s="677"/>
      <c r="I4" s="677"/>
      <c r="J4" s="678"/>
    </row>
    <row r="5" spans="1:12" ht="18" customHeight="1" x14ac:dyDescent="0.2">
      <c r="A5" s="813" t="s">
        <v>40</v>
      </c>
      <c r="B5" s="814"/>
      <c r="C5" s="814"/>
      <c r="D5" s="814"/>
      <c r="E5" s="814"/>
      <c r="F5" s="814"/>
      <c r="G5" s="814"/>
      <c r="H5" s="814"/>
      <c r="I5" s="814"/>
      <c r="J5" s="815"/>
    </row>
    <row r="6" spans="1:12" ht="18" customHeight="1" x14ac:dyDescent="0.2">
      <c r="A6" s="813"/>
      <c r="B6" s="814"/>
      <c r="C6" s="814"/>
      <c r="D6" s="814"/>
      <c r="E6" s="814"/>
      <c r="F6" s="814"/>
      <c r="G6" s="814"/>
      <c r="H6" s="814"/>
      <c r="I6" s="814"/>
      <c r="J6" s="815"/>
    </row>
    <row r="7" spans="1:12" ht="15" customHeight="1" x14ac:dyDescent="0.2">
      <c r="A7" s="791" t="s">
        <v>41</v>
      </c>
      <c r="B7" s="793"/>
      <c r="C7" s="800" t="s">
        <v>42</v>
      </c>
      <c r="D7" s="800" t="s">
        <v>43</v>
      </c>
      <c r="E7" s="816" t="s">
        <v>102</v>
      </c>
      <c r="F7" s="803" t="s">
        <v>103</v>
      </c>
      <c r="G7" s="804" t="s">
        <v>48</v>
      </c>
      <c r="H7" s="792"/>
      <c r="I7" s="792"/>
      <c r="J7" s="805"/>
    </row>
    <row r="8" spans="1:12" ht="15" customHeight="1" x14ac:dyDescent="0.2">
      <c r="A8" s="794"/>
      <c r="B8" s="796"/>
      <c r="C8" s="801"/>
      <c r="D8" s="801"/>
      <c r="E8" s="817"/>
      <c r="F8" s="803"/>
      <c r="G8" s="806"/>
      <c r="H8" s="795"/>
      <c r="I8" s="795"/>
      <c r="J8" s="807"/>
    </row>
    <row r="9" spans="1:12" ht="15" customHeight="1" x14ac:dyDescent="0.2">
      <c r="A9" s="794"/>
      <c r="B9" s="796"/>
      <c r="C9" s="801"/>
      <c r="D9" s="801"/>
      <c r="E9" s="817"/>
      <c r="F9" s="803"/>
      <c r="G9" s="806"/>
      <c r="H9" s="795"/>
      <c r="I9" s="795"/>
      <c r="J9" s="807"/>
    </row>
    <row r="10" spans="1:12" ht="14.25" customHeight="1" x14ac:dyDescent="0.2">
      <c r="A10" s="797"/>
      <c r="B10" s="799"/>
      <c r="C10" s="802"/>
      <c r="D10" s="802"/>
      <c r="E10" s="818"/>
      <c r="F10" s="803"/>
      <c r="G10" s="808"/>
      <c r="H10" s="798"/>
      <c r="I10" s="798"/>
      <c r="J10" s="809"/>
    </row>
    <row r="11" spans="1:12" ht="15" customHeight="1" x14ac:dyDescent="0.25">
      <c r="A11" s="765" t="s">
        <v>626</v>
      </c>
      <c r="B11" s="766"/>
      <c r="C11" s="27" t="s">
        <v>843</v>
      </c>
      <c r="D11" s="27" t="s">
        <v>50</v>
      </c>
      <c r="E11" s="246">
        <v>7.4012114440066598E-2</v>
      </c>
      <c r="F11" s="235">
        <v>141930.23999999999</v>
      </c>
      <c r="G11" s="771" t="s">
        <v>710</v>
      </c>
      <c r="H11" s="772"/>
      <c r="I11" s="772"/>
      <c r="J11" s="773"/>
      <c r="K11" s="1">
        <f>COUNTBLANK(C11:J11)</f>
        <v>3</v>
      </c>
      <c r="L11" s="1" t="str">
        <f>IF(AND(B12&lt;&gt;"",K11&gt;3),"No","Yes")</f>
        <v>Yes</v>
      </c>
    </row>
    <row r="12" spans="1:12" ht="15" customHeight="1" x14ac:dyDescent="0.25">
      <c r="A12" s="765" t="s">
        <v>627</v>
      </c>
      <c r="B12" s="766"/>
      <c r="C12" s="27" t="s">
        <v>843</v>
      </c>
      <c r="D12" s="27" t="s">
        <v>50</v>
      </c>
      <c r="E12" s="246">
        <v>6.5567048607026224E-2</v>
      </c>
      <c r="F12" s="235">
        <v>132173.97</v>
      </c>
      <c r="G12" s="771" t="s">
        <v>710</v>
      </c>
      <c r="H12" s="772"/>
      <c r="I12" s="772"/>
      <c r="J12" s="773"/>
      <c r="K12" s="1">
        <f t="shared" ref="K12:K104" si="0">COUNTBLANK(C12:J12)</f>
        <v>3</v>
      </c>
      <c r="L12" s="1" t="str">
        <f t="shared" ref="L12:L43" si="1">IF(AND(A12&lt;&gt;"",K12&gt;3),"No","Yes")</f>
        <v>Yes</v>
      </c>
    </row>
    <row r="13" spans="1:12" ht="15" customHeight="1" x14ac:dyDescent="0.25">
      <c r="A13" s="765" t="s">
        <v>693</v>
      </c>
      <c r="B13" s="766"/>
      <c r="C13" s="27" t="s">
        <v>843</v>
      </c>
      <c r="D13" s="27" t="s">
        <v>50</v>
      </c>
      <c r="E13" s="246">
        <v>5.2196798299745682E-2</v>
      </c>
      <c r="F13" s="235">
        <v>390091.3</v>
      </c>
      <c r="G13" s="771" t="s">
        <v>710</v>
      </c>
      <c r="H13" s="772"/>
      <c r="I13" s="772"/>
      <c r="J13" s="773"/>
      <c r="K13" s="1">
        <f t="shared" si="0"/>
        <v>3</v>
      </c>
      <c r="L13" s="1" t="str">
        <f t="shared" si="1"/>
        <v>Yes</v>
      </c>
    </row>
    <row r="14" spans="1:12" ht="15" customHeight="1" x14ac:dyDescent="0.25">
      <c r="A14" s="765" t="s">
        <v>694</v>
      </c>
      <c r="B14" s="766"/>
      <c r="C14" s="27" t="s">
        <v>843</v>
      </c>
      <c r="D14" s="27" t="s">
        <v>50</v>
      </c>
      <c r="E14" s="246">
        <v>4.5372898681092858E-2</v>
      </c>
      <c r="F14" s="235">
        <v>466985.56</v>
      </c>
      <c r="G14" s="771" t="s">
        <v>710</v>
      </c>
      <c r="H14" s="772"/>
      <c r="I14" s="772"/>
      <c r="J14" s="773"/>
      <c r="K14" s="1">
        <f t="shared" si="0"/>
        <v>3</v>
      </c>
      <c r="L14" s="1" t="str">
        <f t="shared" si="1"/>
        <v>Yes</v>
      </c>
    </row>
    <row r="15" spans="1:12" ht="15" customHeight="1" x14ac:dyDescent="0.25">
      <c r="A15" s="765" t="s">
        <v>649</v>
      </c>
      <c r="B15" s="766"/>
      <c r="C15" s="27" t="s">
        <v>843</v>
      </c>
      <c r="D15" s="27" t="s">
        <v>50</v>
      </c>
      <c r="E15" s="246">
        <v>4.235304294754922E-2</v>
      </c>
      <c r="F15" s="235">
        <v>211566.68</v>
      </c>
      <c r="G15" s="771" t="s">
        <v>710</v>
      </c>
      <c r="H15" s="772"/>
      <c r="I15" s="772"/>
      <c r="J15" s="773"/>
      <c r="K15" s="1">
        <f t="shared" si="0"/>
        <v>3</v>
      </c>
      <c r="L15" s="1" t="str">
        <f t="shared" si="1"/>
        <v>Yes</v>
      </c>
    </row>
    <row r="16" spans="1:12" ht="15" customHeight="1" x14ac:dyDescent="0.25">
      <c r="A16" s="765" t="s">
        <v>695</v>
      </c>
      <c r="B16" s="766"/>
      <c r="C16" s="27" t="s">
        <v>843</v>
      </c>
      <c r="D16" s="27" t="s">
        <v>50</v>
      </c>
      <c r="E16" s="246">
        <v>4.1040170953422085E-2</v>
      </c>
      <c r="F16" s="235">
        <v>222145.12</v>
      </c>
      <c r="G16" s="771" t="s">
        <v>710</v>
      </c>
      <c r="H16" s="772"/>
      <c r="I16" s="772"/>
      <c r="J16" s="773"/>
      <c r="K16" s="1">
        <f t="shared" si="0"/>
        <v>3</v>
      </c>
      <c r="L16" s="1" t="str">
        <f t="shared" si="1"/>
        <v>Yes</v>
      </c>
    </row>
    <row r="17" spans="1:12" ht="15" customHeight="1" x14ac:dyDescent="0.25">
      <c r="A17" s="765" t="s">
        <v>650</v>
      </c>
      <c r="B17" s="766"/>
      <c r="C17" s="27" t="s">
        <v>843</v>
      </c>
      <c r="D17" s="27" t="s">
        <v>50</v>
      </c>
      <c r="E17" s="246">
        <v>4.7794306424399254E-2</v>
      </c>
      <c r="F17" s="235">
        <v>171819.2</v>
      </c>
      <c r="G17" s="771" t="s">
        <v>710</v>
      </c>
      <c r="H17" s="772"/>
      <c r="I17" s="772"/>
      <c r="J17" s="773"/>
      <c r="K17" s="1">
        <f t="shared" si="0"/>
        <v>3</v>
      </c>
      <c r="L17" s="1" t="str">
        <f t="shared" si="1"/>
        <v>Yes</v>
      </c>
    </row>
    <row r="18" spans="1:12" ht="15" customHeight="1" x14ac:dyDescent="0.25">
      <c r="A18" s="765" t="s">
        <v>696</v>
      </c>
      <c r="B18" s="766"/>
      <c r="C18" s="27" t="s">
        <v>843</v>
      </c>
      <c r="D18" s="27" t="s">
        <v>50</v>
      </c>
      <c r="E18" s="246">
        <v>4.024491589542508E-2</v>
      </c>
      <c r="F18" s="235">
        <v>144328.47</v>
      </c>
      <c r="G18" s="771" t="s">
        <v>710</v>
      </c>
      <c r="H18" s="772"/>
      <c r="I18" s="772"/>
      <c r="J18" s="773"/>
      <c r="K18" s="1">
        <f t="shared" si="0"/>
        <v>3</v>
      </c>
      <c r="L18" s="1" t="str">
        <f t="shared" si="1"/>
        <v>Yes</v>
      </c>
    </row>
    <row r="19" spans="1:12" ht="15" customHeight="1" x14ac:dyDescent="0.25">
      <c r="A19" s="765" t="s">
        <v>628</v>
      </c>
      <c r="B19" s="766"/>
      <c r="C19" s="27" t="s">
        <v>843</v>
      </c>
      <c r="D19" s="27" t="s">
        <v>50</v>
      </c>
      <c r="E19" s="246">
        <v>5.1856247346959004E-2</v>
      </c>
      <c r="F19" s="235">
        <v>277629.45</v>
      </c>
      <c r="G19" s="771" t="s">
        <v>710</v>
      </c>
      <c r="H19" s="772"/>
      <c r="I19" s="772"/>
      <c r="J19" s="773"/>
      <c r="K19" s="1">
        <f t="shared" si="0"/>
        <v>3</v>
      </c>
      <c r="L19" s="1" t="str">
        <f t="shared" si="1"/>
        <v>Yes</v>
      </c>
    </row>
    <row r="20" spans="1:12" ht="15" customHeight="1" x14ac:dyDescent="0.25">
      <c r="A20" s="765" t="s">
        <v>697</v>
      </c>
      <c r="B20" s="766"/>
      <c r="C20" s="27" t="s">
        <v>843</v>
      </c>
      <c r="D20" s="27" t="s">
        <v>50</v>
      </c>
      <c r="E20" s="246">
        <v>5.1173789089049827E-2</v>
      </c>
      <c r="F20" s="235">
        <v>131500.03</v>
      </c>
      <c r="G20" s="771" t="s">
        <v>710</v>
      </c>
      <c r="H20" s="772"/>
      <c r="I20" s="772"/>
      <c r="J20" s="773"/>
      <c r="K20" s="1">
        <f t="shared" si="0"/>
        <v>3</v>
      </c>
      <c r="L20" s="1" t="str">
        <f t="shared" si="1"/>
        <v>Yes</v>
      </c>
    </row>
    <row r="21" spans="1:12" ht="15" customHeight="1" x14ac:dyDescent="0.25">
      <c r="A21" s="765" t="s">
        <v>668</v>
      </c>
      <c r="B21" s="766"/>
      <c r="C21" s="27" t="s">
        <v>843</v>
      </c>
      <c r="D21" s="27" t="s">
        <v>50</v>
      </c>
      <c r="E21" s="246">
        <v>6.1844702142468858E-2</v>
      </c>
      <c r="F21" s="235">
        <v>196030.22</v>
      </c>
      <c r="G21" s="771" t="s">
        <v>710</v>
      </c>
      <c r="H21" s="772"/>
      <c r="I21" s="772"/>
      <c r="J21" s="773"/>
      <c r="K21" s="1">
        <f t="shared" si="0"/>
        <v>3</v>
      </c>
      <c r="L21" s="1" t="str">
        <f t="shared" si="1"/>
        <v>Yes</v>
      </c>
    </row>
    <row r="22" spans="1:12" ht="15" customHeight="1" x14ac:dyDescent="0.25">
      <c r="A22" s="765" t="s">
        <v>706</v>
      </c>
      <c r="B22" s="766"/>
      <c r="C22" s="27" t="s">
        <v>843</v>
      </c>
      <c r="D22" s="27" t="s">
        <v>50</v>
      </c>
      <c r="E22" s="246">
        <v>5.2791723733963521E-2</v>
      </c>
      <c r="F22" s="235">
        <v>234387.12</v>
      </c>
      <c r="G22" s="771" t="s">
        <v>710</v>
      </c>
      <c r="H22" s="772"/>
      <c r="I22" s="772"/>
      <c r="J22" s="773"/>
      <c r="K22" s="1">
        <f t="shared" si="0"/>
        <v>3</v>
      </c>
      <c r="L22" s="1" t="str">
        <f t="shared" si="1"/>
        <v>Yes</v>
      </c>
    </row>
    <row r="23" spans="1:12" ht="15" customHeight="1" x14ac:dyDescent="0.25">
      <c r="A23" s="765" t="s">
        <v>698</v>
      </c>
      <c r="B23" s="766"/>
      <c r="C23" s="27" t="s">
        <v>843</v>
      </c>
      <c r="D23" s="27" t="s">
        <v>50</v>
      </c>
      <c r="E23" s="246">
        <v>4.3993718187158734E-2</v>
      </c>
      <c r="F23" s="235">
        <v>132895.31</v>
      </c>
      <c r="G23" s="771" t="s">
        <v>710</v>
      </c>
      <c r="H23" s="772"/>
      <c r="I23" s="772"/>
      <c r="J23" s="773"/>
      <c r="K23" s="1">
        <f t="shared" si="0"/>
        <v>3</v>
      </c>
      <c r="L23" s="1" t="str">
        <f t="shared" si="1"/>
        <v>Yes</v>
      </c>
    </row>
    <row r="24" spans="1:12" ht="15" customHeight="1" x14ac:dyDescent="0.25">
      <c r="A24" s="765" t="s">
        <v>651</v>
      </c>
      <c r="B24" s="766"/>
      <c r="C24" s="27" t="s">
        <v>843</v>
      </c>
      <c r="D24" s="27" t="s">
        <v>50</v>
      </c>
      <c r="E24" s="246">
        <v>5.7120989711281649E-2</v>
      </c>
      <c r="F24" s="235">
        <v>172982.02</v>
      </c>
      <c r="G24" s="771" t="s">
        <v>710</v>
      </c>
      <c r="H24" s="772"/>
      <c r="I24" s="772"/>
      <c r="J24" s="773"/>
      <c r="K24" s="1">
        <f t="shared" si="0"/>
        <v>3</v>
      </c>
      <c r="L24" s="1" t="str">
        <f t="shared" si="1"/>
        <v>Yes</v>
      </c>
    </row>
    <row r="25" spans="1:12" ht="15" customHeight="1" x14ac:dyDescent="0.25">
      <c r="A25" s="765" t="s">
        <v>629</v>
      </c>
      <c r="B25" s="766"/>
      <c r="C25" s="27" t="s">
        <v>843</v>
      </c>
      <c r="D25" s="27" t="s">
        <v>50</v>
      </c>
      <c r="E25" s="246">
        <v>5.9718006872738393E-2</v>
      </c>
      <c r="F25" s="235">
        <v>111937.11</v>
      </c>
      <c r="G25" s="771" t="s">
        <v>710</v>
      </c>
      <c r="H25" s="772"/>
      <c r="I25" s="772"/>
      <c r="J25" s="773"/>
      <c r="K25" s="1">
        <f t="shared" si="0"/>
        <v>3</v>
      </c>
      <c r="L25" s="1" t="str">
        <f t="shared" si="1"/>
        <v>Yes</v>
      </c>
    </row>
    <row r="26" spans="1:12" ht="15" customHeight="1" x14ac:dyDescent="0.25">
      <c r="A26" s="765" t="s">
        <v>716</v>
      </c>
      <c r="B26" s="766"/>
      <c r="C26" s="27" t="s">
        <v>843</v>
      </c>
      <c r="D26" s="27" t="s">
        <v>50</v>
      </c>
      <c r="E26" s="246">
        <v>4.3948003462675286E-2</v>
      </c>
      <c r="F26" s="235">
        <v>209526.12</v>
      </c>
      <c r="G26" s="771" t="s">
        <v>710</v>
      </c>
      <c r="H26" s="772"/>
      <c r="I26" s="772"/>
      <c r="J26" s="773"/>
      <c r="K26" s="1">
        <f t="shared" si="0"/>
        <v>3</v>
      </c>
      <c r="L26" s="1" t="str">
        <f t="shared" si="1"/>
        <v>Yes</v>
      </c>
    </row>
    <row r="27" spans="1:12" ht="15" customHeight="1" x14ac:dyDescent="0.25">
      <c r="A27" s="765" t="s">
        <v>652</v>
      </c>
      <c r="B27" s="766"/>
      <c r="C27" s="27" t="s">
        <v>843</v>
      </c>
      <c r="D27" s="27" t="s">
        <v>50</v>
      </c>
      <c r="E27" s="246">
        <v>4.8400506961841394E-2</v>
      </c>
      <c r="F27" s="235">
        <v>141080.20000000001</v>
      </c>
      <c r="G27" s="771" t="s">
        <v>710</v>
      </c>
      <c r="H27" s="772"/>
      <c r="I27" s="772"/>
      <c r="J27" s="773"/>
      <c r="K27" s="1">
        <f t="shared" si="0"/>
        <v>3</v>
      </c>
      <c r="L27" s="1" t="str">
        <f t="shared" si="1"/>
        <v>Yes</v>
      </c>
    </row>
    <row r="28" spans="1:12" ht="15" customHeight="1" x14ac:dyDescent="0.25">
      <c r="A28" s="765" t="s">
        <v>717</v>
      </c>
      <c r="B28" s="766"/>
      <c r="C28" s="27" t="s">
        <v>843</v>
      </c>
      <c r="D28" s="27" t="s">
        <v>50</v>
      </c>
      <c r="E28" s="246">
        <v>5.5484837760869286E-2</v>
      </c>
      <c r="F28" s="235">
        <v>581435.53</v>
      </c>
      <c r="G28" s="771" t="s">
        <v>710</v>
      </c>
      <c r="H28" s="772"/>
      <c r="I28" s="772"/>
      <c r="J28" s="773"/>
      <c r="K28" s="1">
        <f t="shared" si="0"/>
        <v>3</v>
      </c>
      <c r="L28" s="1" t="str">
        <f t="shared" si="1"/>
        <v>Yes</v>
      </c>
    </row>
    <row r="29" spans="1:12" ht="15" customHeight="1" x14ac:dyDescent="0.25">
      <c r="A29" s="765" t="s">
        <v>699</v>
      </c>
      <c r="B29" s="766"/>
      <c r="C29" s="27" t="s">
        <v>843</v>
      </c>
      <c r="D29" s="27" t="s">
        <v>50</v>
      </c>
      <c r="E29" s="246">
        <v>4.4868096267258815E-2</v>
      </c>
      <c r="F29" s="235">
        <v>222193.08</v>
      </c>
      <c r="G29" s="771" t="s">
        <v>710</v>
      </c>
      <c r="H29" s="772"/>
      <c r="I29" s="772"/>
      <c r="J29" s="773"/>
      <c r="K29" s="1">
        <f t="shared" si="0"/>
        <v>3</v>
      </c>
      <c r="L29" s="1" t="str">
        <f t="shared" si="1"/>
        <v>Yes</v>
      </c>
    </row>
    <row r="30" spans="1:12" ht="15" customHeight="1" x14ac:dyDescent="0.25">
      <c r="A30" s="765" t="s">
        <v>630</v>
      </c>
      <c r="B30" s="766"/>
      <c r="C30" s="27" t="s">
        <v>843</v>
      </c>
      <c r="D30" s="27" t="s">
        <v>50</v>
      </c>
      <c r="E30" s="246">
        <v>5.2658132189955451E-2</v>
      </c>
      <c r="F30" s="235">
        <v>94244.07</v>
      </c>
      <c r="G30" s="771" t="s">
        <v>710</v>
      </c>
      <c r="H30" s="772"/>
      <c r="I30" s="772"/>
      <c r="J30" s="773"/>
      <c r="K30" s="1">
        <f t="shared" si="0"/>
        <v>3</v>
      </c>
      <c r="L30" s="1" t="str">
        <f t="shared" si="1"/>
        <v>Yes</v>
      </c>
    </row>
    <row r="31" spans="1:12" ht="15" customHeight="1" x14ac:dyDescent="0.25">
      <c r="A31" s="765" t="s">
        <v>631</v>
      </c>
      <c r="B31" s="766"/>
      <c r="C31" s="27" t="s">
        <v>843</v>
      </c>
      <c r="D31" s="27" t="s">
        <v>50</v>
      </c>
      <c r="E31" s="246">
        <v>5.8549586614320803E-2</v>
      </c>
      <c r="F31" s="235">
        <v>95541.01</v>
      </c>
      <c r="G31" s="771" t="s">
        <v>710</v>
      </c>
      <c r="H31" s="772"/>
      <c r="I31" s="772"/>
      <c r="J31" s="773"/>
      <c r="K31" s="1">
        <f t="shared" si="0"/>
        <v>3</v>
      </c>
      <c r="L31" s="1" t="str">
        <f t="shared" si="1"/>
        <v>Yes</v>
      </c>
    </row>
    <row r="32" spans="1:12" ht="15" customHeight="1" x14ac:dyDescent="0.25">
      <c r="A32" s="765" t="s">
        <v>700</v>
      </c>
      <c r="B32" s="766"/>
      <c r="C32" s="27" t="s">
        <v>843</v>
      </c>
      <c r="D32" s="27" t="s">
        <v>50</v>
      </c>
      <c r="E32" s="246">
        <v>5.8981381062276829E-2</v>
      </c>
      <c r="F32" s="235">
        <v>258009.5</v>
      </c>
      <c r="G32" s="771" t="s">
        <v>710</v>
      </c>
      <c r="H32" s="772"/>
      <c r="I32" s="772"/>
      <c r="J32" s="773"/>
      <c r="K32" s="1">
        <f t="shared" si="0"/>
        <v>3</v>
      </c>
      <c r="L32" s="1" t="str">
        <f t="shared" si="1"/>
        <v>Yes</v>
      </c>
    </row>
    <row r="33" spans="1:12" ht="15" customHeight="1" x14ac:dyDescent="0.25">
      <c r="A33" s="765" t="s">
        <v>701</v>
      </c>
      <c r="B33" s="766"/>
      <c r="C33" s="27" t="s">
        <v>843</v>
      </c>
      <c r="D33" s="27" t="s">
        <v>50</v>
      </c>
      <c r="E33" s="246">
        <v>2.5118687258968632E-2</v>
      </c>
      <c r="F33" s="235">
        <v>119851.32</v>
      </c>
      <c r="G33" s="771" t="s">
        <v>710</v>
      </c>
      <c r="H33" s="772"/>
      <c r="I33" s="772"/>
      <c r="J33" s="773"/>
      <c r="K33" s="1">
        <f t="shared" si="0"/>
        <v>3</v>
      </c>
      <c r="L33" s="1" t="str">
        <f t="shared" si="1"/>
        <v>Yes</v>
      </c>
    </row>
    <row r="34" spans="1:12" ht="15" customHeight="1" x14ac:dyDescent="0.25">
      <c r="A34" s="765" t="s">
        <v>676</v>
      </c>
      <c r="B34" s="766"/>
      <c r="C34" s="27" t="s">
        <v>843</v>
      </c>
      <c r="D34" s="27" t="s">
        <v>50</v>
      </c>
      <c r="E34" s="246">
        <v>4.7403539254350577E-2</v>
      </c>
      <c r="F34" s="235">
        <v>178233.59</v>
      </c>
      <c r="G34" s="771" t="s">
        <v>710</v>
      </c>
      <c r="H34" s="772"/>
      <c r="I34" s="772"/>
      <c r="J34" s="773"/>
      <c r="K34" s="1">
        <f t="shared" si="0"/>
        <v>3</v>
      </c>
      <c r="L34" s="1" t="str">
        <f t="shared" si="1"/>
        <v>Yes</v>
      </c>
    </row>
    <row r="35" spans="1:12" ht="15" customHeight="1" x14ac:dyDescent="0.25">
      <c r="A35" s="765" t="s">
        <v>632</v>
      </c>
      <c r="B35" s="766"/>
      <c r="C35" s="27" t="s">
        <v>843</v>
      </c>
      <c r="D35" s="27" t="s">
        <v>50</v>
      </c>
      <c r="E35" s="246">
        <v>6.8090026184193256E-2</v>
      </c>
      <c r="F35" s="235">
        <v>128503.09</v>
      </c>
      <c r="G35" s="771" t="s">
        <v>710</v>
      </c>
      <c r="H35" s="772"/>
      <c r="I35" s="772"/>
      <c r="J35" s="773"/>
      <c r="K35" s="1">
        <f t="shared" si="0"/>
        <v>3</v>
      </c>
      <c r="L35" s="1" t="str">
        <f t="shared" si="1"/>
        <v>Yes</v>
      </c>
    </row>
    <row r="36" spans="1:12" ht="15" customHeight="1" x14ac:dyDescent="0.25">
      <c r="A36" s="765" t="s">
        <v>669</v>
      </c>
      <c r="B36" s="766"/>
      <c r="C36" s="27" t="s">
        <v>843</v>
      </c>
      <c r="D36" s="27" t="s">
        <v>50</v>
      </c>
      <c r="E36" s="246">
        <v>4.2594378994966611E-2</v>
      </c>
      <c r="F36" s="235">
        <v>88347.77</v>
      </c>
      <c r="G36" s="771" t="s">
        <v>710</v>
      </c>
      <c r="H36" s="772"/>
      <c r="I36" s="772"/>
      <c r="J36" s="773"/>
      <c r="K36" s="1">
        <f t="shared" si="0"/>
        <v>3</v>
      </c>
      <c r="L36" s="1" t="str">
        <f t="shared" si="1"/>
        <v>Yes</v>
      </c>
    </row>
    <row r="37" spans="1:12" ht="15" customHeight="1" x14ac:dyDescent="0.25">
      <c r="A37" s="765" t="s">
        <v>653</v>
      </c>
      <c r="B37" s="766"/>
      <c r="C37" s="27" t="s">
        <v>843</v>
      </c>
      <c r="D37" s="27" t="s">
        <v>50</v>
      </c>
      <c r="E37" s="246">
        <v>6.4523928682451173E-2</v>
      </c>
      <c r="F37" s="235">
        <v>123843.29</v>
      </c>
      <c r="G37" s="771" t="s">
        <v>710</v>
      </c>
      <c r="H37" s="772"/>
      <c r="I37" s="772"/>
      <c r="J37" s="773"/>
      <c r="K37" s="1">
        <f t="shared" si="0"/>
        <v>3</v>
      </c>
      <c r="L37" s="1" t="str">
        <f t="shared" si="1"/>
        <v>Yes</v>
      </c>
    </row>
    <row r="38" spans="1:12" ht="15" customHeight="1" x14ac:dyDescent="0.25">
      <c r="A38" s="765" t="s">
        <v>633</v>
      </c>
      <c r="B38" s="766"/>
      <c r="C38" s="27" t="s">
        <v>843</v>
      </c>
      <c r="D38" s="27" t="s">
        <v>50</v>
      </c>
      <c r="E38" s="246">
        <v>4.1537773561853224E-2</v>
      </c>
      <c r="F38" s="235">
        <v>116047.14</v>
      </c>
      <c r="G38" s="771" t="s">
        <v>710</v>
      </c>
      <c r="H38" s="772"/>
      <c r="I38" s="772"/>
      <c r="J38" s="773"/>
      <c r="K38" s="1">
        <f t="shared" si="0"/>
        <v>3</v>
      </c>
      <c r="L38" s="1" t="str">
        <f t="shared" si="1"/>
        <v>Yes</v>
      </c>
    </row>
    <row r="39" spans="1:12" ht="15" customHeight="1" x14ac:dyDescent="0.25">
      <c r="A39" s="765" t="s">
        <v>634</v>
      </c>
      <c r="B39" s="766"/>
      <c r="C39" s="27" t="s">
        <v>843</v>
      </c>
      <c r="D39" s="27" t="s">
        <v>50</v>
      </c>
      <c r="E39" s="246">
        <v>4.689806243496103E-2</v>
      </c>
      <c r="F39" s="235">
        <v>179028.34</v>
      </c>
      <c r="G39" s="771" t="s">
        <v>710</v>
      </c>
      <c r="H39" s="772"/>
      <c r="I39" s="772"/>
      <c r="J39" s="773"/>
      <c r="K39" s="1">
        <f t="shared" si="0"/>
        <v>3</v>
      </c>
      <c r="L39" s="1" t="str">
        <f t="shared" si="1"/>
        <v>Yes</v>
      </c>
    </row>
    <row r="40" spans="1:12" ht="15" customHeight="1" x14ac:dyDescent="0.25">
      <c r="A40" s="765" t="s">
        <v>677</v>
      </c>
      <c r="B40" s="766"/>
      <c r="C40" s="27" t="s">
        <v>843</v>
      </c>
      <c r="D40" s="27" t="s">
        <v>50</v>
      </c>
      <c r="E40" s="246">
        <v>3.1613363310981996E-2</v>
      </c>
      <c r="F40" s="235">
        <v>116726.96</v>
      </c>
      <c r="G40" s="771" t="s">
        <v>710</v>
      </c>
      <c r="H40" s="772"/>
      <c r="I40" s="772"/>
      <c r="J40" s="773"/>
      <c r="K40" s="1">
        <f t="shared" si="0"/>
        <v>3</v>
      </c>
      <c r="L40" s="1" t="str">
        <f t="shared" si="1"/>
        <v>Yes</v>
      </c>
    </row>
    <row r="41" spans="1:12" ht="15" customHeight="1" x14ac:dyDescent="0.25">
      <c r="A41" s="765" t="s">
        <v>678</v>
      </c>
      <c r="B41" s="766"/>
      <c r="C41" s="27" t="s">
        <v>843</v>
      </c>
      <c r="D41" s="27" t="s">
        <v>50</v>
      </c>
      <c r="E41" s="246">
        <v>5.5901205408296441E-2</v>
      </c>
      <c r="F41" s="235">
        <v>263319.64</v>
      </c>
      <c r="G41" s="771" t="s">
        <v>710</v>
      </c>
      <c r="H41" s="772"/>
      <c r="I41" s="772"/>
      <c r="J41" s="773"/>
      <c r="K41" s="1">
        <f t="shared" si="0"/>
        <v>3</v>
      </c>
      <c r="L41" s="1" t="str">
        <f t="shared" si="1"/>
        <v>Yes</v>
      </c>
    </row>
    <row r="42" spans="1:12" ht="15" customHeight="1" x14ac:dyDescent="0.25">
      <c r="A42" s="765" t="s">
        <v>654</v>
      </c>
      <c r="B42" s="766"/>
      <c r="C42" s="27" t="s">
        <v>843</v>
      </c>
      <c r="D42" s="27" t="s">
        <v>50</v>
      </c>
      <c r="E42" s="246">
        <v>6.9656480804238211E-2</v>
      </c>
      <c r="F42" s="235">
        <v>188811.25</v>
      </c>
      <c r="G42" s="771" t="s">
        <v>710</v>
      </c>
      <c r="H42" s="772"/>
      <c r="I42" s="772"/>
      <c r="J42" s="773"/>
      <c r="K42" s="1">
        <f t="shared" si="0"/>
        <v>3</v>
      </c>
      <c r="L42" s="1" t="str">
        <f t="shared" si="1"/>
        <v>Yes</v>
      </c>
    </row>
    <row r="43" spans="1:12" ht="15" customHeight="1" x14ac:dyDescent="0.25">
      <c r="A43" s="765" t="s">
        <v>702</v>
      </c>
      <c r="B43" s="766"/>
      <c r="C43" s="27" t="s">
        <v>843</v>
      </c>
      <c r="D43" s="27" t="s">
        <v>50</v>
      </c>
      <c r="E43" s="246">
        <v>5.6894906299727349E-2</v>
      </c>
      <c r="F43" s="235">
        <v>105375.67999999999</v>
      </c>
      <c r="G43" s="771" t="s">
        <v>710</v>
      </c>
      <c r="H43" s="772"/>
      <c r="I43" s="772"/>
      <c r="J43" s="773"/>
      <c r="K43" s="1">
        <f t="shared" si="0"/>
        <v>3</v>
      </c>
      <c r="L43" s="1" t="str">
        <f t="shared" si="1"/>
        <v>Yes</v>
      </c>
    </row>
    <row r="44" spans="1:12" ht="15" customHeight="1" x14ac:dyDescent="0.25">
      <c r="A44" s="765" t="s">
        <v>655</v>
      </c>
      <c r="B44" s="766"/>
      <c r="C44" s="27" t="s">
        <v>843</v>
      </c>
      <c r="D44" s="27" t="s">
        <v>50</v>
      </c>
      <c r="E44" s="246">
        <v>4.5193555395484253E-2</v>
      </c>
      <c r="F44" s="235">
        <v>187131.18</v>
      </c>
      <c r="G44" s="771" t="s">
        <v>710</v>
      </c>
      <c r="H44" s="772"/>
      <c r="I44" s="772"/>
      <c r="J44" s="773"/>
      <c r="K44" s="1">
        <f t="shared" si="0"/>
        <v>3</v>
      </c>
      <c r="L44" s="1" t="str">
        <f t="shared" ref="L44:L75" si="2">IF(AND(A44&lt;&gt;"",K44&gt;3),"No","Yes")</f>
        <v>Yes</v>
      </c>
    </row>
    <row r="45" spans="1:12" ht="15" customHeight="1" x14ac:dyDescent="0.25">
      <c r="A45" s="765" t="s">
        <v>679</v>
      </c>
      <c r="B45" s="766"/>
      <c r="C45" s="27" t="s">
        <v>843</v>
      </c>
      <c r="D45" s="27" t="s">
        <v>50</v>
      </c>
      <c r="E45" s="246">
        <v>5.2695465228414944E-2</v>
      </c>
      <c r="F45" s="235">
        <v>76121.62</v>
      </c>
      <c r="G45" s="771" t="s">
        <v>710</v>
      </c>
      <c r="H45" s="772"/>
      <c r="I45" s="772"/>
      <c r="J45" s="773"/>
      <c r="K45" s="1">
        <f t="shared" si="0"/>
        <v>3</v>
      </c>
      <c r="L45" s="1" t="str">
        <f t="shared" si="2"/>
        <v>Yes</v>
      </c>
    </row>
    <row r="46" spans="1:12" ht="15" customHeight="1" x14ac:dyDescent="0.25">
      <c r="A46" s="765" t="s">
        <v>680</v>
      </c>
      <c r="B46" s="766"/>
      <c r="C46" s="27" t="s">
        <v>843</v>
      </c>
      <c r="D46" s="27" t="s">
        <v>50</v>
      </c>
      <c r="E46" s="246">
        <v>5.1645315320397484E-2</v>
      </c>
      <c r="F46" s="235">
        <v>120259.85</v>
      </c>
      <c r="G46" s="771" t="s">
        <v>710</v>
      </c>
      <c r="H46" s="772"/>
      <c r="I46" s="772"/>
      <c r="J46" s="773"/>
      <c r="K46" s="1">
        <f t="shared" si="0"/>
        <v>3</v>
      </c>
      <c r="L46" s="1" t="str">
        <f t="shared" si="2"/>
        <v>Yes</v>
      </c>
    </row>
    <row r="47" spans="1:12" ht="15" customHeight="1" x14ac:dyDescent="0.25">
      <c r="A47" s="765" t="s">
        <v>718</v>
      </c>
      <c r="B47" s="766"/>
      <c r="C47" s="27" t="s">
        <v>843</v>
      </c>
      <c r="D47" s="27" t="s">
        <v>50</v>
      </c>
      <c r="E47" s="246">
        <v>4.145755612769033E-2</v>
      </c>
      <c r="F47" s="235">
        <v>154762.04999999999</v>
      </c>
      <c r="G47" s="771" t="s">
        <v>710</v>
      </c>
      <c r="H47" s="772"/>
      <c r="I47" s="772"/>
      <c r="J47" s="773"/>
      <c r="K47" s="1">
        <f t="shared" si="0"/>
        <v>3</v>
      </c>
      <c r="L47" s="1" t="str">
        <f t="shared" si="2"/>
        <v>Yes</v>
      </c>
    </row>
    <row r="48" spans="1:12" ht="15" customHeight="1" x14ac:dyDescent="0.25">
      <c r="A48" s="765" t="s">
        <v>635</v>
      </c>
      <c r="B48" s="766"/>
      <c r="C48" s="27" t="s">
        <v>843</v>
      </c>
      <c r="D48" s="27" t="s">
        <v>50</v>
      </c>
      <c r="E48" s="246">
        <v>7.1106760500634136E-2</v>
      </c>
      <c r="F48" s="235">
        <v>91339.55</v>
      </c>
      <c r="G48" s="771" t="s">
        <v>710</v>
      </c>
      <c r="H48" s="772"/>
      <c r="I48" s="772"/>
      <c r="J48" s="773"/>
      <c r="K48" s="1">
        <f t="shared" si="0"/>
        <v>3</v>
      </c>
      <c r="L48" s="1" t="str">
        <f t="shared" si="2"/>
        <v>Yes</v>
      </c>
    </row>
    <row r="49" spans="1:12" ht="15" customHeight="1" x14ac:dyDescent="0.25">
      <c r="A49" s="765" t="s">
        <v>703</v>
      </c>
      <c r="B49" s="766"/>
      <c r="C49" s="27" t="s">
        <v>843</v>
      </c>
      <c r="D49" s="27" t="s">
        <v>50</v>
      </c>
      <c r="E49" s="246">
        <v>7.0066915669191362E-2</v>
      </c>
      <c r="F49" s="235">
        <v>133338.51999999999</v>
      </c>
      <c r="G49" s="771" t="s">
        <v>710</v>
      </c>
      <c r="H49" s="772"/>
      <c r="I49" s="772"/>
      <c r="J49" s="773"/>
      <c r="K49" s="1">
        <f t="shared" si="0"/>
        <v>3</v>
      </c>
      <c r="L49" s="1" t="str">
        <f t="shared" si="2"/>
        <v>Yes</v>
      </c>
    </row>
    <row r="50" spans="1:12" ht="15" customHeight="1" x14ac:dyDescent="0.25">
      <c r="A50" s="765" t="s">
        <v>656</v>
      </c>
      <c r="B50" s="766"/>
      <c r="C50" s="27" t="s">
        <v>843</v>
      </c>
      <c r="D50" s="27" t="s">
        <v>50</v>
      </c>
      <c r="E50" s="246">
        <v>6.5776976786544997E-2</v>
      </c>
      <c r="F50" s="235">
        <v>158605.49</v>
      </c>
      <c r="G50" s="771" t="s">
        <v>710</v>
      </c>
      <c r="H50" s="772"/>
      <c r="I50" s="772"/>
      <c r="J50" s="773"/>
      <c r="K50" s="1">
        <f t="shared" si="0"/>
        <v>3</v>
      </c>
      <c r="L50" s="1" t="str">
        <f t="shared" si="2"/>
        <v>Yes</v>
      </c>
    </row>
    <row r="51" spans="1:12" ht="15" customHeight="1" x14ac:dyDescent="0.25">
      <c r="A51" s="765" t="s">
        <v>719</v>
      </c>
      <c r="B51" s="766"/>
      <c r="C51" s="27" t="s">
        <v>843</v>
      </c>
      <c r="D51" s="27" t="s">
        <v>50</v>
      </c>
      <c r="E51" s="246">
        <v>6.9767093560688553E-2</v>
      </c>
      <c r="F51" s="235">
        <v>186442.3</v>
      </c>
      <c r="G51" s="771" t="s">
        <v>710</v>
      </c>
      <c r="H51" s="772"/>
      <c r="I51" s="772"/>
      <c r="J51" s="773"/>
      <c r="K51" s="1">
        <f t="shared" si="0"/>
        <v>3</v>
      </c>
      <c r="L51" s="1" t="str">
        <f t="shared" si="2"/>
        <v>Yes</v>
      </c>
    </row>
    <row r="52" spans="1:12" ht="15" customHeight="1" x14ac:dyDescent="0.25">
      <c r="A52" s="765" t="s">
        <v>636</v>
      </c>
      <c r="B52" s="766"/>
      <c r="C52" s="27" t="s">
        <v>843</v>
      </c>
      <c r="D52" s="27" t="s">
        <v>50</v>
      </c>
      <c r="E52" s="246">
        <v>4.9976379270014193E-2</v>
      </c>
      <c r="F52" s="235">
        <v>139013.1</v>
      </c>
      <c r="G52" s="771" t="s">
        <v>710</v>
      </c>
      <c r="H52" s="772"/>
      <c r="I52" s="772"/>
      <c r="J52" s="773"/>
      <c r="K52" s="1">
        <f t="shared" si="0"/>
        <v>3</v>
      </c>
      <c r="L52" s="1" t="str">
        <f t="shared" si="2"/>
        <v>Yes</v>
      </c>
    </row>
    <row r="53" spans="1:12" ht="15" customHeight="1" x14ac:dyDescent="0.25">
      <c r="A53" s="765" t="s">
        <v>670</v>
      </c>
      <c r="B53" s="766"/>
      <c r="C53" s="27" t="s">
        <v>843</v>
      </c>
      <c r="D53" s="27" t="s">
        <v>50</v>
      </c>
      <c r="E53" s="246">
        <v>5.4405841406179503E-2</v>
      </c>
      <c r="F53" s="235">
        <v>175477.3</v>
      </c>
      <c r="G53" s="771" t="s">
        <v>710</v>
      </c>
      <c r="H53" s="772"/>
      <c r="I53" s="772"/>
      <c r="J53" s="773"/>
      <c r="K53" s="1">
        <f t="shared" si="0"/>
        <v>3</v>
      </c>
      <c r="L53" s="1" t="str">
        <f t="shared" si="2"/>
        <v>Yes</v>
      </c>
    </row>
    <row r="54" spans="1:12" ht="15" customHeight="1" x14ac:dyDescent="0.25">
      <c r="A54" s="767" t="s">
        <v>1027</v>
      </c>
      <c r="B54" s="768"/>
      <c r="C54" s="27" t="s">
        <v>843</v>
      </c>
      <c r="D54" s="27" t="s">
        <v>50</v>
      </c>
      <c r="E54" s="246">
        <v>5.2617089123350023E-2</v>
      </c>
      <c r="F54" s="235">
        <v>184980.73</v>
      </c>
      <c r="G54" s="771" t="s">
        <v>710</v>
      </c>
      <c r="H54" s="772"/>
      <c r="I54" s="772"/>
      <c r="J54" s="773"/>
      <c r="K54" s="1">
        <f t="shared" si="0"/>
        <v>3</v>
      </c>
      <c r="L54" s="1" t="str">
        <f t="shared" si="2"/>
        <v>Yes</v>
      </c>
    </row>
    <row r="55" spans="1:12" ht="15" customHeight="1" x14ac:dyDescent="0.25">
      <c r="A55" s="767" t="s">
        <v>721</v>
      </c>
      <c r="B55" s="766"/>
      <c r="C55" s="27" t="s">
        <v>843</v>
      </c>
      <c r="D55" s="27" t="s">
        <v>50</v>
      </c>
      <c r="E55" s="246">
        <v>5.1038135083116769E-2</v>
      </c>
      <c r="F55" s="235">
        <v>136146.99</v>
      </c>
      <c r="G55" s="771" t="s">
        <v>710</v>
      </c>
      <c r="H55" s="772"/>
      <c r="I55" s="772"/>
      <c r="J55" s="773"/>
      <c r="K55" s="1">
        <f t="shared" si="0"/>
        <v>3</v>
      </c>
      <c r="L55" s="1" t="str">
        <f t="shared" si="2"/>
        <v>Yes</v>
      </c>
    </row>
    <row r="56" spans="1:12" ht="15" customHeight="1" x14ac:dyDescent="0.25">
      <c r="A56" s="765" t="s">
        <v>657</v>
      </c>
      <c r="B56" s="766"/>
      <c r="C56" s="27" t="s">
        <v>843</v>
      </c>
      <c r="D56" s="27" t="s">
        <v>50</v>
      </c>
      <c r="E56" s="246">
        <v>4.4199455902829241E-2</v>
      </c>
      <c r="F56" s="235">
        <v>149966.35</v>
      </c>
      <c r="G56" s="771" t="s">
        <v>710</v>
      </c>
      <c r="H56" s="772"/>
      <c r="I56" s="772"/>
      <c r="J56" s="773"/>
      <c r="K56" s="1">
        <f t="shared" si="0"/>
        <v>3</v>
      </c>
      <c r="L56" s="1" t="str">
        <f t="shared" si="2"/>
        <v>Yes</v>
      </c>
    </row>
    <row r="57" spans="1:12" ht="15" customHeight="1" x14ac:dyDescent="0.25">
      <c r="A57" s="765" t="s">
        <v>658</v>
      </c>
      <c r="B57" s="766"/>
      <c r="C57" s="27" t="s">
        <v>843</v>
      </c>
      <c r="D57" s="27" t="s">
        <v>50</v>
      </c>
      <c r="E57" s="246">
        <v>3.9955692840016224E-2</v>
      </c>
      <c r="F57" s="235">
        <v>121253.75999999999</v>
      </c>
      <c r="G57" s="771" t="s">
        <v>710</v>
      </c>
      <c r="H57" s="772"/>
      <c r="I57" s="772"/>
      <c r="J57" s="773"/>
      <c r="K57" s="1">
        <f t="shared" si="0"/>
        <v>3</v>
      </c>
      <c r="L57" s="1" t="str">
        <f t="shared" si="2"/>
        <v>Yes</v>
      </c>
    </row>
    <row r="58" spans="1:12" ht="15" customHeight="1" x14ac:dyDescent="0.25">
      <c r="A58" s="765" t="s">
        <v>722</v>
      </c>
      <c r="B58" s="766"/>
      <c r="C58" s="27" t="s">
        <v>843</v>
      </c>
      <c r="D58" s="27" t="s">
        <v>50</v>
      </c>
      <c r="E58" s="246">
        <v>5.501028546969735E-2</v>
      </c>
      <c r="F58" s="235">
        <v>142970.23999999999</v>
      </c>
      <c r="G58" s="771" t="s">
        <v>710</v>
      </c>
      <c r="H58" s="772"/>
      <c r="I58" s="772"/>
      <c r="J58" s="773"/>
      <c r="K58" s="1">
        <f t="shared" si="0"/>
        <v>3</v>
      </c>
      <c r="L58" s="1" t="str">
        <f t="shared" si="2"/>
        <v>Yes</v>
      </c>
    </row>
    <row r="59" spans="1:12" ht="15" customHeight="1" x14ac:dyDescent="0.25">
      <c r="A59" s="765" t="s">
        <v>723</v>
      </c>
      <c r="B59" s="766"/>
      <c r="C59" s="27" t="s">
        <v>843</v>
      </c>
      <c r="D59" s="27" t="s">
        <v>50</v>
      </c>
      <c r="E59" s="246">
        <v>5.5067387881430951E-2</v>
      </c>
      <c r="F59" s="235">
        <v>109519.6</v>
      </c>
      <c r="G59" s="771" t="s">
        <v>710</v>
      </c>
      <c r="H59" s="772"/>
      <c r="I59" s="772"/>
      <c r="J59" s="773"/>
      <c r="K59" s="1">
        <f t="shared" si="0"/>
        <v>3</v>
      </c>
      <c r="L59" s="1" t="str">
        <f t="shared" si="2"/>
        <v>Yes</v>
      </c>
    </row>
    <row r="60" spans="1:12" ht="15" customHeight="1" x14ac:dyDescent="0.25">
      <c r="A60" s="765" t="s">
        <v>724</v>
      </c>
      <c r="B60" s="766"/>
      <c r="C60" s="27" t="s">
        <v>843</v>
      </c>
      <c r="D60" s="27" t="s">
        <v>50</v>
      </c>
      <c r="E60" s="246">
        <v>3.9262446708657618E-2</v>
      </c>
      <c r="F60" s="235">
        <v>94259.61</v>
      </c>
      <c r="G60" s="771" t="s">
        <v>710</v>
      </c>
      <c r="H60" s="772"/>
      <c r="I60" s="772"/>
      <c r="J60" s="773"/>
      <c r="K60" s="1">
        <f t="shared" si="0"/>
        <v>3</v>
      </c>
      <c r="L60" s="1" t="str">
        <f t="shared" si="2"/>
        <v>Yes</v>
      </c>
    </row>
    <row r="61" spans="1:12" ht="15" customHeight="1" x14ac:dyDescent="0.25">
      <c r="A61" s="765" t="s">
        <v>637</v>
      </c>
      <c r="B61" s="766"/>
      <c r="C61" s="27" t="s">
        <v>843</v>
      </c>
      <c r="D61" s="27" t="s">
        <v>50</v>
      </c>
      <c r="E61" s="246">
        <v>5.5238180398738214E-2</v>
      </c>
      <c r="F61" s="235">
        <v>121613.77</v>
      </c>
      <c r="G61" s="771" t="s">
        <v>710</v>
      </c>
      <c r="H61" s="772"/>
      <c r="I61" s="772"/>
      <c r="J61" s="773"/>
      <c r="K61" s="1">
        <f t="shared" si="0"/>
        <v>3</v>
      </c>
      <c r="L61" s="1" t="str">
        <f t="shared" si="2"/>
        <v>Yes</v>
      </c>
    </row>
    <row r="62" spans="1:12" ht="15" customHeight="1" x14ac:dyDescent="0.25">
      <c r="A62" s="765" t="s">
        <v>725</v>
      </c>
      <c r="B62" s="766"/>
      <c r="C62" s="27" t="s">
        <v>843</v>
      </c>
      <c r="D62" s="27" t="s">
        <v>50</v>
      </c>
      <c r="E62" s="246">
        <v>2.4774995518610066E-2</v>
      </c>
      <c r="F62" s="235">
        <v>57723.33</v>
      </c>
      <c r="G62" s="771" t="s">
        <v>710</v>
      </c>
      <c r="H62" s="772"/>
      <c r="I62" s="772"/>
      <c r="J62" s="773"/>
      <c r="K62" s="1">
        <f t="shared" si="0"/>
        <v>3</v>
      </c>
      <c r="L62" s="1" t="str">
        <f t="shared" si="2"/>
        <v>Yes</v>
      </c>
    </row>
    <row r="63" spans="1:12" ht="15" customHeight="1" x14ac:dyDescent="0.25">
      <c r="A63" s="765" t="s">
        <v>659</v>
      </c>
      <c r="B63" s="766"/>
      <c r="C63" s="27" t="s">
        <v>843</v>
      </c>
      <c r="D63" s="27" t="s">
        <v>50</v>
      </c>
      <c r="E63" s="246">
        <v>4.9791891761243857E-2</v>
      </c>
      <c r="F63" s="235">
        <v>170291.24</v>
      </c>
      <c r="G63" s="771" t="s">
        <v>710</v>
      </c>
      <c r="H63" s="772"/>
      <c r="I63" s="772"/>
      <c r="J63" s="773"/>
      <c r="K63" s="1">
        <f t="shared" si="0"/>
        <v>3</v>
      </c>
      <c r="L63" s="1" t="str">
        <f t="shared" si="2"/>
        <v>Yes</v>
      </c>
    </row>
    <row r="64" spans="1:12" ht="15" customHeight="1" x14ac:dyDescent="0.25">
      <c r="A64" s="765" t="s">
        <v>660</v>
      </c>
      <c r="B64" s="766"/>
      <c r="C64" s="27" t="s">
        <v>843</v>
      </c>
      <c r="D64" s="27" t="s">
        <v>50</v>
      </c>
      <c r="E64" s="246">
        <v>3.5140852684709255E-2</v>
      </c>
      <c r="F64" s="235">
        <v>67304.42</v>
      </c>
      <c r="G64" s="771" t="s">
        <v>710</v>
      </c>
      <c r="H64" s="772"/>
      <c r="I64" s="772"/>
      <c r="J64" s="773"/>
      <c r="K64" s="1">
        <f t="shared" si="0"/>
        <v>3</v>
      </c>
      <c r="L64" s="1" t="str">
        <f t="shared" si="2"/>
        <v>Yes</v>
      </c>
    </row>
    <row r="65" spans="1:12" ht="15" customHeight="1" x14ac:dyDescent="0.25">
      <c r="A65" s="765" t="s">
        <v>726</v>
      </c>
      <c r="B65" s="766"/>
      <c r="C65" s="27" t="s">
        <v>843</v>
      </c>
      <c r="D65" s="27" t="s">
        <v>50</v>
      </c>
      <c r="E65" s="246">
        <v>3.1323889956202833E-2</v>
      </c>
      <c r="F65" s="235">
        <v>197166.57</v>
      </c>
      <c r="G65" s="771" t="s">
        <v>710</v>
      </c>
      <c r="H65" s="772"/>
      <c r="I65" s="772"/>
      <c r="J65" s="773"/>
      <c r="K65" s="1">
        <f t="shared" si="0"/>
        <v>3</v>
      </c>
      <c r="L65" s="1" t="str">
        <f t="shared" si="2"/>
        <v>Yes</v>
      </c>
    </row>
    <row r="66" spans="1:12" ht="15" customHeight="1" x14ac:dyDescent="0.25">
      <c r="A66" s="765" t="s">
        <v>661</v>
      </c>
      <c r="B66" s="766"/>
      <c r="C66" s="27" t="s">
        <v>843</v>
      </c>
      <c r="D66" s="27" t="s">
        <v>50</v>
      </c>
      <c r="E66" s="246">
        <v>5.2710024779206943E-2</v>
      </c>
      <c r="F66" s="235">
        <v>218138.75</v>
      </c>
      <c r="G66" s="771" t="s">
        <v>710</v>
      </c>
      <c r="H66" s="772"/>
      <c r="I66" s="772"/>
      <c r="J66" s="773"/>
      <c r="K66" s="1">
        <f t="shared" si="0"/>
        <v>3</v>
      </c>
      <c r="L66" s="1" t="str">
        <f t="shared" si="2"/>
        <v>Yes</v>
      </c>
    </row>
    <row r="67" spans="1:12" ht="15" customHeight="1" x14ac:dyDescent="0.25">
      <c r="A67" s="765" t="s">
        <v>727</v>
      </c>
      <c r="B67" s="766"/>
      <c r="C67" s="27" t="s">
        <v>843</v>
      </c>
      <c r="D67" s="27" t="s">
        <v>50</v>
      </c>
      <c r="E67" s="246">
        <v>7.1503092045284655E-2</v>
      </c>
      <c r="F67" s="235">
        <v>168755.75</v>
      </c>
      <c r="G67" s="771" t="s">
        <v>710</v>
      </c>
      <c r="H67" s="772"/>
      <c r="I67" s="772"/>
      <c r="J67" s="773"/>
      <c r="K67" s="1">
        <f t="shared" si="0"/>
        <v>3</v>
      </c>
      <c r="L67" s="1" t="str">
        <f t="shared" si="2"/>
        <v>Yes</v>
      </c>
    </row>
    <row r="68" spans="1:12" ht="15" customHeight="1" x14ac:dyDescent="0.25">
      <c r="A68" s="765" t="s">
        <v>638</v>
      </c>
      <c r="B68" s="766"/>
      <c r="C68" s="27" t="s">
        <v>843</v>
      </c>
      <c r="D68" s="27" t="s">
        <v>50</v>
      </c>
      <c r="E68" s="246">
        <v>6.8142947393413589E-2</v>
      </c>
      <c r="F68" s="235">
        <v>168227.79</v>
      </c>
      <c r="G68" s="771" t="s">
        <v>710</v>
      </c>
      <c r="H68" s="772"/>
      <c r="I68" s="772"/>
      <c r="J68" s="773"/>
      <c r="K68" s="1">
        <f t="shared" si="0"/>
        <v>3</v>
      </c>
      <c r="L68" s="1" t="str">
        <f t="shared" si="2"/>
        <v>Yes</v>
      </c>
    </row>
    <row r="69" spans="1:12" ht="15" customHeight="1" x14ac:dyDescent="0.25">
      <c r="A69" s="765" t="s">
        <v>704</v>
      </c>
      <c r="B69" s="766"/>
      <c r="C69" s="27" t="s">
        <v>843</v>
      </c>
      <c r="D69" s="27" t="s">
        <v>50</v>
      </c>
      <c r="E69" s="246">
        <v>5.8062011259951751E-2</v>
      </c>
      <c r="F69" s="235">
        <v>182555.21</v>
      </c>
      <c r="G69" s="771" t="s">
        <v>710</v>
      </c>
      <c r="H69" s="772"/>
      <c r="I69" s="772"/>
      <c r="J69" s="773"/>
      <c r="K69" s="1">
        <f t="shared" si="0"/>
        <v>3</v>
      </c>
      <c r="L69" s="1" t="str">
        <f t="shared" si="2"/>
        <v>Yes</v>
      </c>
    </row>
    <row r="70" spans="1:12" ht="15" customHeight="1" x14ac:dyDescent="0.25">
      <c r="A70" s="765" t="s">
        <v>639</v>
      </c>
      <c r="B70" s="766"/>
      <c r="C70" s="27" t="s">
        <v>843</v>
      </c>
      <c r="D70" s="27" t="s">
        <v>50</v>
      </c>
      <c r="E70" s="246">
        <v>4.8087475129960755E-2</v>
      </c>
      <c r="F70" s="235">
        <v>152189.76999999999</v>
      </c>
      <c r="G70" s="771" t="s">
        <v>710</v>
      </c>
      <c r="H70" s="772"/>
      <c r="I70" s="772"/>
      <c r="J70" s="773"/>
      <c r="K70" s="1">
        <f t="shared" si="0"/>
        <v>3</v>
      </c>
      <c r="L70" s="1" t="str">
        <f t="shared" si="2"/>
        <v>Yes</v>
      </c>
    </row>
    <row r="71" spans="1:12" ht="15" customHeight="1" x14ac:dyDescent="0.25">
      <c r="A71" s="765" t="s">
        <v>640</v>
      </c>
      <c r="B71" s="766"/>
      <c r="C71" s="27" t="s">
        <v>843</v>
      </c>
      <c r="D71" s="27" t="s">
        <v>50</v>
      </c>
      <c r="E71" s="246">
        <v>5.2184695042051601E-2</v>
      </c>
      <c r="F71" s="235">
        <v>161644.04999999999</v>
      </c>
      <c r="G71" s="771" t="s">
        <v>710</v>
      </c>
      <c r="H71" s="772"/>
      <c r="I71" s="772"/>
      <c r="J71" s="773"/>
      <c r="K71" s="1">
        <f t="shared" si="0"/>
        <v>3</v>
      </c>
      <c r="L71" s="1" t="str">
        <f t="shared" si="2"/>
        <v>Yes</v>
      </c>
    </row>
    <row r="72" spans="1:12" ht="15" customHeight="1" x14ac:dyDescent="0.25">
      <c r="A72" s="765" t="s">
        <v>662</v>
      </c>
      <c r="B72" s="766"/>
      <c r="C72" s="27" t="s">
        <v>843</v>
      </c>
      <c r="D72" s="27" t="s">
        <v>50</v>
      </c>
      <c r="E72" s="246">
        <v>5.4137818921175002E-2</v>
      </c>
      <c r="F72" s="235">
        <v>110124.92</v>
      </c>
      <c r="G72" s="771" t="s">
        <v>710</v>
      </c>
      <c r="H72" s="772"/>
      <c r="I72" s="772"/>
      <c r="J72" s="773"/>
      <c r="K72" s="1">
        <f t="shared" si="0"/>
        <v>3</v>
      </c>
      <c r="L72" s="1" t="str">
        <f t="shared" si="2"/>
        <v>Yes</v>
      </c>
    </row>
    <row r="73" spans="1:12" ht="15" customHeight="1" x14ac:dyDescent="0.25">
      <c r="A73" s="765" t="s">
        <v>728</v>
      </c>
      <c r="B73" s="766"/>
      <c r="C73" s="27" t="s">
        <v>843</v>
      </c>
      <c r="D73" s="27" t="s">
        <v>50</v>
      </c>
      <c r="E73" s="246">
        <v>3.5112510894656834E-2</v>
      </c>
      <c r="F73" s="235">
        <v>139544.67000000001</v>
      </c>
      <c r="G73" s="771" t="s">
        <v>710</v>
      </c>
      <c r="H73" s="772"/>
      <c r="I73" s="772"/>
      <c r="J73" s="773"/>
      <c r="K73" s="1">
        <f t="shared" si="0"/>
        <v>3</v>
      </c>
      <c r="L73" s="1" t="str">
        <f t="shared" si="2"/>
        <v>Yes</v>
      </c>
    </row>
    <row r="74" spans="1:12" ht="15" customHeight="1" x14ac:dyDescent="0.25">
      <c r="A74" s="765" t="s">
        <v>663</v>
      </c>
      <c r="B74" s="766"/>
      <c r="C74" s="27" t="s">
        <v>843</v>
      </c>
      <c r="D74" s="27" t="s">
        <v>50</v>
      </c>
      <c r="E74" s="246">
        <v>5.3143649363183387E-2</v>
      </c>
      <c r="F74" s="235">
        <v>112357.68</v>
      </c>
      <c r="G74" s="771" t="s">
        <v>710</v>
      </c>
      <c r="H74" s="772"/>
      <c r="I74" s="772"/>
      <c r="J74" s="773"/>
      <c r="K74" s="1">
        <f t="shared" si="0"/>
        <v>3</v>
      </c>
      <c r="L74" s="1" t="str">
        <f t="shared" si="2"/>
        <v>Yes</v>
      </c>
    </row>
    <row r="75" spans="1:12" ht="15" customHeight="1" x14ac:dyDescent="0.25">
      <c r="A75" s="765" t="s">
        <v>711</v>
      </c>
      <c r="B75" s="766"/>
      <c r="C75" s="27" t="s">
        <v>843</v>
      </c>
      <c r="D75" s="27" t="s">
        <v>50</v>
      </c>
      <c r="E75" s="246">
        <v>3.3575726545539579E-2</v>
      </c>
      <c r="F75" s="235">
        <v>149703.28</v>
      </c>
      <c r="G75" s="771" t="s">
        <v>710</v>
      </c>
      <c r="H75" s="772"/>
      <c r="I75" s="772"/>
      <c r="J75" s="773"/>
      <c r="K75" s="1">
        <f t="shared" si="0"/>
        <v>3</v>
      </c>
      <c r="L75" s="1" t="str">
        <f t="shared" si="2"/>
        <v>Yes</v>
      </c>
    </row>
    <row r="76" spans="1:12" ht="15" customHeight="1" x14ac:dyDescent="0.25">
      <c r="A76" s="765" t="s">
        <v>729</v>
      </c>
      <c r="B76" s="766"/>
      <c r="C76" s="27" t="s">
        <v>843</v>
      </c>
      <c r="D76" s="27" t="s">
        <v>50</v>
      </c>
      <c r="E76" s="246">
        <v>2.1390080783557131E-2</v>
      </c>
      <c r="F76" s="235">
        <v>50760.93</v>
      </c>
      <c r="G76" s="771" t="s">
        <v>710</v>
      </c>
      <c r="H76" s="772"/>
      <c r="I76" s="772"/>
      <c r="J76" s="773"/>
      <c r="K76" s="1">
        <f t="shared" si="0"/>
        <v>3</v>
      </c>
      <c r="L76" s="1" t="str">
        <f t="shared" ref="L76:L104" si="3">IF(AND(A76&lt;&gt;"",K76&gt;3),"No","Yes")</f>
        <v>Yes</v>
      </c>
    </row>
    <row r="77" spans="1:12" ht="15" customHeight="1" x14ac:dyDescent="0.25">
      <c r="A77" s="765" t="s">
        <v>730</v>
      </c>
      <c r="B77" s="766"/>
      <c r="C77" s="27" t="s">
        <v>843</v>
      </c>
      <c r="D77" s="27" t="s">
        <v>50</v>
      </c>
      <c r="E77" s="246">
        <v>5.2737958971069684E-2</v>
      </c>
      <c r="F77" s="235">
        <v>179788.13</v>
      </c>
      <c r="G77" s="771" t="s">
        <v>710</v>
      </c>
      <c r="H77" s="772"/>
      <c r="I77" s="772"/>
      <c r="J77" s="773"/>
      <c r="K77" s="1">
        <f t="shared" si="0"/>
        <v>3</v>
      </c>
      <c r="L77" s="1" t="str">
        <f t="shared" si="3"/>
        <v>Yes</v>
      </c>
    </row>
    <row r="78" spans="1:12" ht="15" customHeight="1" x14ac:dyDescent="0.25">
      <c r="A78" s="765" t="s">
        <v>671</v>
      </c>
      <c r="B78" s="766"/>
      <c r="C78" s="27" t="s">
        <v>843</v>
      </c>
      <c r="D78" s="27" t="s">
        <v>50</v>
      </c>
      <c r="E78" s="246">
        <v>5.2405114514779139E-2</v>
      </c>
      <c r="F78" s="235">
        <v>222128.87</v>
      </c>
      <c r="G78" s="771" t="s">
        <v>710</v>
      </c>
      <c r="H78" s="772"/>
      <c r="I78" s="772"/>
      <c r="J78" s="773"/>
      <c r="K78" s="1">
        <f t="shared" si="0"/>
        <v>3</v>
      </c>
      <c r="L78" s="1" t="str">
        <f t="shared" si="3"/>
        <v>Yes</v>
      </c>
    </row>
    <row r="79" spans="1:12" ht="15" customHeight="1" x14ac:dyDescent="0.25">
      <c r="A79" s="765" t="s">
        <v>641</v>
      </c>
      <c r="B79" s="766"/>
      <c r="C79" s="27" t="s">
        <v>843</v>
      </c>
      <c r="D79" s="27" t="s">
        <v>50</v>
      </c>
      <c r="E79" s="246">
        <v>4.4774183210088046E-2</v>
      </c>
      <c r="F79" s="235">
        <v>108959.26</v>
      </c>
      <c r="G79" s="771" t="s">
        <v>710</v>
      </c>
      <c r="H79" s="772"/>
      <c r="I79" s="772"/>
      <c r="J79" s="773"/>
      <c r="K79" s="1">
        <f t="shared" si="0"/>
        <v>3</v>
      </c>
      <c r="L79" s="1" t="str">
        <f t="shared" si="3"/>
        <v>Yes</v>
      </c>
    </row>
    <row r="80" spans="1:12" ht="15" customHeight="1" x14ac:dyDescent="0.25">
      <c r="A80" s="765" t="s">
        <v>705</v>
      </c>
      <c r="B80" s="766"/>
      <c r="C80" s="27" t="s">
        <v>843</v>
      </c>
      <c r="D80" s="27" t="s">
        <v>50</v>
      </c>
      <c r="E80" s="246">
        <v>3.8155646674268504E-2</v>
      </c>
      <c r="F80" s="235">
        <v>207917.32</v>
      </c>
      <c r="G80" s="771" t="s">
        <v>710</v>
      </c>
      <c r="H80" s="772"/>
      <c r="I80" s="772"/>
      <c r="J80" s="773"/>
      <c r="K80" s="1">
        <f t="shared" si="0"/>
        <v>3</v>
      </c>
      <c r="L80" s="1" t="str">
        <f t="shared" si="3"/>
        <v>Yes</v>
      </c>
    </row>
    <row r="81" spans="1:12" ht="15" customHeight="1" x14ac:dyDescent="0.25">
      <c r="A81" s="765" t="s">
        <v>642</v>
      </c>
      <c r="B81" s="766"/>
      <c r="C81" s="27" t="s">
        <v>843</v>
      </c>
      <c r="D81" s="27" t="s">
        <v>50</v>
      </c>
      <c r="E81" s="246">
        <v>5.2612431105799891E-2</v>
      </c>
      <c r="F81" s="235">
        <v>168901.13</v>
      </c>
      <c r="G81" s="771" t="s">
        <v>710</v>
      </c>
      <c r="H81" s="772"/>
      <c r="I81" s="772"/>
      <c r="J81" s="773"/>
      <c r="K81" s="1">
        <f t="shared" si="0"/>
        <v>3</v>
      </c>
      <c r="L81" s="1" t="str">
        <f t="shared" si="3"/>
        <v>Yes</v>
      </c>
    </row>
    <row r="82" spans="1:12" ht="14.25" customHeight="1" x14ac:dyDescent="0.25">
      <c r="A82" s="765" t="s">
        <v>643</v>
      </c>
      <c r="B82" s="766"/>
      <c r="C82" s="27" t="s">
        <v>843</v>
      </c>
      <c r="D82" s="27" t="s">
        <v>50</v>
      </c>
      <c r="E82" s="246">
        <v>4.2258618523518747E-2</v>
      </c>
      <c r="F82" s="235">
        <v>127940.68</v>
      </c>
      <c r="G82" s="771" t="s">
        <v>710</v>
      </c>
      <c r="H82" s="772"/>
      <c r="I82" s="772"/>
      <c r="J82" s="773"/>
      <c r="K82" s="1">
        <f t="shared" si="0"/>
        <v>3</v>
      </c>
      <c r="L82" s="1" t="str">
        <f t="shared" si="3"/>
        <v>Yes</v>
      </c>
    </row>
    <row r="83" spans="1:12" ht="15" customHeight="1" x14ac:dyDescent="0.25">
      <c r="A83" s="765" t="s">
        <v>682</v>
      </c>
      <c r="B83" s="766"/>
      <c r="C83" s="27" t="s">
        <v>843</v>
      </c>
      <c r="D83" s="27" t="s">
        <v>50</v>
      </c>
      <c r="E83" s="246">
        <v>1.6420801307373153E-2</v>
      </c>
      <c r="F83" s="235">
        <v>43752.26</v>
      </c>
      <c r="G83" s="771" t="s">
        <v>710</v>
      </c>
      <c r="H83" s="772"/>
      <c r="I83" s="772"/>
      <c r="J83" s="773"/>
      <c r="K83" s="1">
        <f t="shared" si="0"/>
        <v>3</v>
      </c>
      <c r="L83" s="1" t="str">
        <f t="shared" si="3"/>
        <v>Yes</v>
      </c>
    </row>
    <row r="84" spans="1:12" ht="15" customHeight="1" x14ac:dyDescent="0.25">
      <c r="A84" s="765" t="s">
        <v>707</v>
      </c>
      <c r="B84" s="766"/>
      <c r="C84" s="27" t="s">
        <v>843</v>
      </c>
      <c r="D84" s="27" t="s">
        <v>50</v>
      </c>
      <c r="E84" s="246">
        <v>3.7499607824061386E-2</v>
      </c>
      <c r="F84" s="235">
        <v>73259.02</v>
      </c>
      <c r="G84" s="771" t="s">
        <v>710</v>
      </c>
      <c r="H84" s="772"/>
      <c r="I84" s="772"/>
      <c r="J84" s="773"/>
      <c r="K84" s="1">
        <f t="shared" si="0"/>
        <v>3</v>
      </c>
      <c r="L84" s="1" t="str">
        <f t="shared" si="3"/>
        <v>Yes</v>
      </c>
    </row>
    <row r="85" spans="1:12" ht="15" customHeight="1" x14ac:dyDescent="0.25">
      <c r="A85" s="765" t="s">
        <v>664</v>
      </c>
      <c r="B85" s="766"/>
      <c r="C85" s="27" t="s">
        <v>843</v>
      </c>
      <c r="D85" s="27" t="s">
        <v>50</v>
      </c>
      <c r="E85" s="246">
        <v>5.7564804283329864E-2</v>
      </c>
      <c r="F85" s="235">
        <v>122276.81</v>
      </c>
      <c r="G85" s="771" t="s">
        <v>710</v>
      </c>
      <c r="H85" s="772"/>
      <c r="I85" s="772"/>
      <c r="J85" s="773"/>
      <c r="K85" s="1">
        <f t="shared" si="0"/>
        <v>3</v>
      </c>
      <c r="L85" s="1" t="str">
        <f t="shared" si="3"/>
        <v>Yes</v>
      </c>
    </row>
    <row r="86" spans="1:12" ht="15" customHeight="1" x14ac:dyDescent="0.25">
      <c r="A86" s="765" t="s">
        <v>665</v>
      </c>
      <c r="B86" s="766"/>
      <c r="C86" s="27" t="s">
        <v>843</v>
      </c>
      <c r="D86" s="27" t="s">
        <v>50</v>
      </c>
      <c r="E86" s="246">
        <v>5.2274516980159211E-2</v>
      </c>
      <c r="F86" s="235">
        <v>118861.81</v>
      </c>
      <c r="G86" s="771" t="s">
        <v>710</v>
      </c>
      <c r="H86" s="772"/>
      <c r="I86" s="772"/>
      <c r="J86" s="773"/>
      <c r="K86" s="1">
        <f t="shared" si="0"/>
        <v>3</v>
      </c>
      <c r="L86" s="1" t="str">
        <f t="shared" si="3"/>
        <v>Yes</v>
      </c>
    </row>
    <row r="87" spans="1:12" ht="15" customHeight="1" x14ac:dyDescent="0.25">
      <c r="A87" s="765" t="s">
        <v>681</v>
      </c>
      <c r="B87" s="766"/>
      <c r="C87" s="27" t="s">
        <v>843</v>
      </c>
      <c r="D87" s="27" t="s">
        <v>50</v>
      </c>
      <c r="E87" s="246">
        <v>4.8660766080068016E-2</v>
      </c>
      <c r="F87" s="235">
        <v>163722.34</v>
      </c>
      <c r="G87" s="771" t="s">
        <v>710</v>
      </c>
      <c r="H87" s="772"/>
      <c r="I87" s="772"/>
      <c r="J87" s="773"/>
      <c r="K87" s="1">
        <f t="shared" si="0"/>
        <v>3</v>
      </c>
      <c r="L87" s="1" t="str">
        <f t="shared" si="3"/>
        <v>Yes</v>
      </c>
    </row>
    <row r="88" spans="1:12" ht="15" customHeight="1" x14ac:dyDescent="0.25">
      <c r="A88" s="765" t="s">
        <v>708</v>
      </c>
      <c r="B88" s="766"/>
      <c r="C88" s="27" t="s">
        <v>843</v>
      </c>
      <c r="D88" s="27" t="s">
        <v>50</v>
      </c>
      <c r="E88" s="246">
        <v>5.1621463480980068E-2</v>
      </c>
      <c r="F88" s="235">
        <v>219588.39</v>
      </c>
      <c r="G88" s="771" t="s">
        <v>710</v>
      </c>
      <c r="H88" s="772"/>
      <c r="I88" s="772"/>
      <c r="J88" s="773"/>
      <c r="K88" s="1">
        <f t="shared" si="0"/>
        <v>3</v>
      </c>
      <c r="L88" s="1" t="str">
        <f t="shared" si="3"/>
        <v>Yes</v>
      </c>
    </row>
    <row r="89" spans="1:12" ht="15" customHeight="1" x14ac:dyDescent="0.25">
      <c r="A89" s="765" t="s">
        <v>644</v>
      </c>
      <c r="B89" s="766"/>
      <c r="C89" s="27" t="s">
        <v>843</v>
      </c>
      <c r="D89" s="27" t="s">
        <v>50</v>
      </c>
      <c r="E89" s="246">
        <v>5.4082388545497406E-2</v>
      </c>
      <c r="F89" s="235">
        <v>178765.35</v>
      </c>
      <c r="G89" s="771" t="s">
        <v>710</v>
      </c>
      <c r="H89" s="772"/>
      <c r="I89" s="772"/>
      <c r="J89" s="773"/>
      <c r="K89" s="1">
        <f t="shared" si="0"/>
        <v>3</v>
      </c>
      <c r="L89" s="1" t="str">
        <f t="shared" si="3"/>
        <v>Yes</v>
      </c>
    </row>
    <row r="90" spans="1:12" ht="15" customHeight="1" x14ac:dyDescent="0.25">
      <c r="A90" s="765" t="s">
        <v>712</v>
      </c>
      <c r="B90" s="766"/>
      <c r="C90" s="27" t="s">
        <v>843</v>
      </c>
      <c r="D90" s="27" t="s">
        <v>50</v>
      </c>
      <c r="E90" s="246">
        <v>3.5217519690447584E-2</v>
      </c>
      <c r="F90" s="235">
        <v>126555.39</v>
      </c>
      <c r="G90" s="771" t="s">
        <v>710</v>
      </c>
      <c r="H90" s="772"/>
      <c r="I90" s="772"/>
      <c r="J90" s="773"/>
      <c r="K90" s="1">
        <f t="shared" si="0"/>
        <v>3</v>
      </c>
      <c r="L90" s="1" t="str">
        <f t="shared" si="3"/>
        <v>Yes</v>
      </c>
    </row>
    <row r="91" spans="1:12" ht="15" customHeight="1" x14ac:dyDescent="0.25">
      <c r="A91" s="765" t="s">
        <v>645</v>
      </c>
      <c r="B91" s="766"/>
      <c r="C91" s="27" t="s">
        <v>843</v>
      </c>
      <c r="D91" s="27" t="s">
        <v>50</v>
      </c>
      <c r="E91" s="246">
        <v>4.0724820815737042E-2</v>
      </c>
      <c r="F91" s="235">
        <v>140614.95000000001</v>
      </c>
      <c r="G91" s="771" t="s">
        <v>710</v>
      </c>
      <c r="H91" s="772"/>
      <c r="I91" s="772"/>
      <c r="J91" s="773"/>
      <c r="K91" s="1">
        <f t="shared" si="0"/>
        <v>3</v>
      </c>
      <c r="L91" s="1" t="str">
        <f t="shared" si="3"/>
        <v>Yes</v>
      </c>
    </row>
    <row r="92" spans="1:12" ht="15" customHeight="1" x14ac:dyDescent="0.25">
      <c r="A92" s="765" t="s">
        <v>666</v>
      </c>
      <c r="B92" s="766"/>
      <c r="C92" s="27" t="s">
        <v>843</v>
      </c>
      <c r="D92" s="27" t="s">
        <v>50</v>
      </c>
      <c r="E92" s="246">
        <v>3.6767931474282457E-2</v>
      </c>
      <c r="F92" s="235">
        <v>113880.73</v>
      </c>
      <c r="G92" s="771" t="s">
        <v>710</v>
      </c>
      <c r="H92" s="772"/>
      <c r="I92" s="772"/>
      <c r="J92" s="773"/>
      <c r="K92" s="1">
        <f t="shared" si="0"/>
        <v>3</v>
      </c>
      <c r="L92" s="1" t="str">
        <f t="shared" si="3"/>
        <v>Yes</v>
      </c>
    </row>
    <row r="93" spans="1:12" ht="15" customHeight="1" x14ac:dyDescent="0.25">
      <c r="A93" s="765" t="s">
        <v>646</v>
      </c>
      <c r="B93" s="766"/>
      <c r="C93" s="27" t="s">
        <v>843</v>
      </c>
      <c r="D93" s="27" t="s">
        <v>50</v>
      </c>
      <c r="E93" s="246">
        <v>4.6598138536647647E-2</v>
      </c>
      <c r="F93" s="235">
        <v>141164.95000000001</v>
      </c>
      <c r="G93" s="771" t="s">
        <v>710</v>
      </c>
      <c r="H93" s="772"/>
      <c r="I93" s="772"/>
      <c r="J93" s="773"/>
      <c r="K93" s="1">
        <f t="shared" si="0"/>
        <v>3</v>
      </c>
      <c r="L93" s="1" t="str">
        <f t="shared" si="3"/>
        <v>Yes</v>
      </c>
    </row>
    <row r="94" spans="1:12" ht="15" customHeight="1" x14ac:dyDescent="0.25">
      <c r="A94" s="765" t="s">
        <v>672</v>
      </c>
      <c r="B94" s="766"/>
      <c r="C94" s="27" t="s">
        <v>843</v>
      </c>
      <c r="D94" s="27" t="s">
        <v>50</v>
      </c>
      <c r="E94" s="28">
        <v>4.8843552407076732E-2</v>
      </c>
      <c r="F94" s="235">
        <v>210716.68</v>
      </c>
      <c r="G94" s="771" t="s">
        <v>710</v>
      </c>
      <c r="H94" s="772"/>
      <c r="I94" s="772"/>
      <c r="J94" s="773"/>
      <c r="K94" s="1">
        <f t="shared" si="0"/>
        <v>3</v>
      </c>
      <c r="L94" s="1" t="str">
        <f t="shared" si="3"/>
        <v>Yes</v>
      </c>
    </row>
    <row r="95" spans="1:12" ht="15" customHeight="1" x14ac:dyDescent="0.25">
      <c r="A95" s="765" t="s">
        <v>667</v>
      </c>
      <c r="B95" s="766"/>
      <c r="C95" s="27" t="s">
        <v>843</v>
      </c>
      <c r="D95" s="27" t="s">
        <v>50</v>
      </c>
      <c r="E95" s="28">
        <v>5.085822346476989E-2</v>
      </c>
      <c r="F95" s="235">
        <v>256266.08</v>
      </c>
      <c r="G95" s="771" t="s">
        <v>710</v>
      </c>
      <c r="H95" s="772"/>
      <c r="I95" s="772"/>
      <c r="J95" s="773"/>
      <c r="K95" s="1">
        <f t="shared" si="0"/>
        <v>3</v>
      </c>
      <c r="L95" s="1" t="str">
        <f t="shared" si="3"/>
        <v>Yes</v>
      </c>
    </row>
    <row r="96" spans="1:12" ht="15" customHeight="1" x14ac:dyDescent="0.25">
      <c r="A96" s="765" t="s">
        <v>713</v>
      </c>
      <c r="B96" s="766"/>
      <c r="C96" s="27" t="s">
        <v>843</v>
      </c>
      <c r="D96" s="27" t="s">
        <v>50</v>
      </c>
      <c r="E96" s="28">
        <v>4.9747833475183793E-2</v>
      </c>
      <c r="F96" s="235">
        <v>146472.79999999999</v>
      </c>
      <c r="G96" s="771" t="s">
        <v>710</v>
      </c>
      <c r="H96" s="772"/>
      <c r="I96" s="772"/>
      <c r="J96" s="773"/>
      <c r="K96" s="1">
        <f t="shared" si="0"/>
        <v>3</v>
      </c>
      <c r="L96" s="1" t="str">
        <f t="shared" si="3"/>
        <v>Yes</v>
      </c>
    </row>
    <row r="97" spans="1:12" ht="15" customHeight="1" x14ac:dyDescent="0.25">
      <c r="A97" s="765" t="s">
        <v>647</v>
      </c>
      <c r="B97" s="766"/>
      <c r="C97" s="27" t="s">
        <v>843</v>
      </c>
      <c r="D97" s="27" t="s">
        <v>50</v>
      </c>
      <c r="E97" s="28">
        <v>2.9646097001290336E-2</v>
      </c>
      <c r="F97" s="235">
        <v>146280.51</v>
      </c>
      <c r="G97" s="771" t="s">
        <v>710</v>
      </c>
      <c r="H97" s="772"/>
      <c r="I97" s="772"/>
      <c r="J97" s="773"/>
      <c r="K97" s="1">
        <f t="shared" si="0"/>
        <v>3</v>
      </c>
      <c r="L97" s="1" t="str">
        <f t="shared" si="3"/>
        <v>Yes</v>
      </c>
    </row>
    <row r="98" spans="1:12" ht="15" customHeight="1" x14ac:dyDescent="0.25">
      <c r="A98" s="765" t="s">
        <v>673</v>
      </c>
      <c r="B98" s="766"/>
      <c r="C98" s="27" t="s">
        <v>843</v>
      </c>
      <c r="D98" s="27" t="s">
        <v>50</v>
      </c>
      <c r="E98" s="28">
        <v>4.0548086642152252E-2</v>
      </c>
      <c r="F98" s="235">
        <v>186460.42</v>
      </c>
      <c r="G98" s="771" t="s">
        <v>710</v>
      </c>
      <c r="H98" s="772"/>
      <c r="I98" s="772"/>
      <c r="J98" s="773"/>
      <c r="K98" s="1">
        <f t="shared" si="0"/>
        <v>3</v>
      </c>
      <c r="L98" s="1" t="str">
        <f t="shared" si="3"/>
        <v>Yes</v>
      </c>
    </row>
    <row r="99" spans="1:12" ht="15" customHeight="1" x14ac:dyDescent="0.25">
      <c r="A99" s="767" t="s">
        <v>1026</v>
      </c>
      <c r="B99" s="766"/>
      <c r="C99" s="27" t="s">
        <v>843</v>
      </c>
      <c r="D99" s="27" t="s">
        <v>50</v>
      </c>
      <c r="E99" s="28">
        <v>6.0394344169927817E-2</v>
      </c>
      <c r="F99" s="235">
        <v>121435.12</v>
      </c>
      <c r="G99" s="771" t="s">
        <v>710</v>
      </c>
      <c r="H99" s="772"/>
      <c r="I99" s="772"/>
      <c r="J99" s="773"/>
      <c r="K99" s="1">
        <f t="shared" si="0"/>
        <v>3</v>
      </c>
      <c r="L99" s="1" t="str">
        <f t="shared" si="3"/>
        <v>Yes</v>
      </c>
    </row>
    <row r="100" spans="1:12" ht="15" customHeight="1" x14ac:dyDescent="0.25">
      <c r="A100" s="765" t="s">
        <v>709</v>
      </c>
      <c r="B100" s="766"/>
      <c r="C100" s="27" t="s">
        <v>843</v>
      </c>
      <c r="D100" s="27" t="s">
        <v>50</v>
      </c>
      <c r="E100" s="28">
        <v>4.2533883038275051E-2</v>
      </c>
      <c r="F100" s="235">
        <v>99689.72</v>
      </c>
      <c r="G100" s="771" t="s">
        <v>710</v>
      </c>
      <c r="H100" s="772"/>
      <c r="I100" s="772"/>
      <c r="J100" s="773"/>
      <c r="K100" s="1">
        <f t="shared" si="0"/>
        <v>3</v>
      </c>
      <c r="L100" s="1" t="str">
        <f t="shared" si="3"/>
        <v>Yes</v>
      </c>
    </row>
    <row r="101" spans="1:12" ht="15" customHeight="1" x14ac:dyDescent="0.25">
      <c r="A101" s="765" t="s">
        <v>648</v>
      </c>
      <c r="B101" s="766"/>
      <c r="C101" s="27" t="s">
        <v>843</v>
      </c>
      <c r="D101" s="27" t="s">
        <v>50</v>
      </c>
      <c r="E101" s="28">
        <v>5.4745545873112159E-2</v>
      </c>
      <c r="F101" s="235">
        <v>230321.44</v>
      </c>
      <c r="G101" s="771" t="s">
        <v>710</v>
      </c>
      <c r="H101" s="772"/>
      <c r="I101" s="772"/>
      <c r="J101" s="773"/>
      <c r="K101" s="1">
        <f t="shared" si="0"/>
        <v>3</v>
      </c>
      <c r="L101" s="1" t="str">
        <f t="shared" si="3"/>
        <v>Yes</v>
      </c>
    </row>
    <row r="102" spans="1:12" ht="15" customHeight="1" x14ac:dyDescent="0.25">
      <c r="A102" s="765" t="s">
        <v>674</v>
      </c>
      <c r="B102" s="766"/>
      <c r="C102" s="27" t="s">
        <v>843</v>
      </c>
      <c r="D102" s="27" t="s">
        <v>50</v>
      </c>
      <c r="E102" s="28">
        <v>5.9607031423169303E-2</v>
      </c>
      <c r="F102" s="235">
        <v>167621.73000000001</v>
      </c>
      <c r="G102" s="771" t="s">
        <v>710</v>
      </c>
      <c r="H102" s="772"/>
      <c r="I102" s="772"/>
      <c r="J102" s="773"/>
      <c r="K102" s="1">
        <f t="shared" si="0"/>
        <v>3</v>
      </c>
      <c r="L102" s="1" t="str">
        <f t="shared" si="3"/>
        <v>Yes</v>
      </c>
    </row>
    <row r="103" spans="1:12" ht="15" customHeight="1" x14ac:dyDescent="0.25">
      <c r="A103" s="765" t="s">
        <v>675</v>
      </c>
      <c r="B103" s="766"/>
      <c r="C103" s="27" t="s">
        <v>843</v>
      </c>
      <c r="D103" s="27" t="s">
        <v>50</v>
      </c>
      <c r="E103" s="28">
        <v>5.9445775660320201E-2</v>
      </c>
      <c r="F103" s="247">
        <v>146881.76</v>
      </c>
      <c r="G103" s="771" t="s">
        <v>710</v>
      </c>
      <c r="H103" s="772"/>
      <c r="I103" s="772"/>
      <c r="J103" s="773"/>
      <c r="K103" s="1">
        <f t="shared" si="0"/>
        <v>3</v>
      </c>
      <c r="L103" s="1" t="str">
        <f t="shared" si="3"/>
        <v>Yes</v>
      </c>
    </row>
    <row r="104" spans="1:12" ht="15" customHeight="1" x14ac:dyDescent="0.25">
      <c r="A104" s="769" t="s">
        <v>731</v>
      </c>
      <c r="B104" s="770"/>
      <c r="C104" s="27" t="s">
        <v>843</v>
      </c>
      <c r="D104" s="27" t="s">
        <v>50</v>
      </c>
      <c r="E104" s="28">
        <v>4.5161065567589601E-2</v>
      </c>
      <c r="F104" s="235">
        <v>360819.5</v>
      </c>
      <c r="G104" s="771" t="s">
        <v>710</v>
      </c>
      <c r="H104" s="772"/>
      <c r="I104" s="772"/>
      <c r="J104" s="773"/>
      <c r="K104" s="1">
        <f t="shared" si="0"/>
        <v>3</v>
      </c>
      <c r="L104" s="1" t="str">
        <f t="shared" si="3"/>
        <v>Yes</v>
      </c>
    </row>
    <row r="105" spans="1:12" ht="15" customHeight="1" x14ac:dyDescent="0.2">
      <c r="A105" s="819" t="s">
        <v>92</v>
      </c>
      <c r="B105" s="820"/>
      <c r="C105" s="820"/>
      <c r="D105" s="820"/>
      <c r="E105" s="32">
        <f>SUM(E11:E104)</f>
        <v>4.6556737153393328</v>
      </c>
      <c r="F105" s="821" t="s">
        <v>93</v>
      </c>
      <c r="G105" s="821"/>
      <c r="H105" s="821"/>
      <c r="I105" s="821"/>
      <c r="J105" s="167">
        <f>SUM(F11:F104)</f>
        <v>15469252.899999995</v>
      </c>
      <c r="L105" s="1">
        <f>COUNTIF(L11:L104,"Yes")</f>
        <v>94</v>
      </c>
    </row>
    <row r="106" spans="1:12" ht="15" customHeight="1" x14ac:dyDescent="0.2">
      <c r="A106" s="810"/>
      <c r="B106" s="811"/>
      <c r="C106" s="811"/>
      <c r="D106" s="811"/>
      <c r="E106" s="811"/>
      <c r="F106" s="811"/>
      <c r="G106" s="811"/>
      <c r="H106" s="811"/>
      <c r="I106" s="811"/>
      <c r="J106" s="812"/>
    </row>
    <row r="107" spans="1:12" ht="18" customHeight="1" x14ac:dyDescent="0.2">
      <c r="A107" s="782" t="s">
        <v>44</v>
      </c>
      <c r="B107" s="783"/>
      <c r="C107" s="783"/>
      <c r="D107" s="783"/>
      <c r="E107" s="783"/>
      <c r="F107" s="783"/>
      <c r="G107" s="783"/>
      <c r="H107" s="783"/>
      <c r="I107" s="783"/>
      <c r="J107" s="784"/>
    </row>
    <row r="108" spans="1:12" ht="18" customHeight="1" x14ac:dyDescent="0.2">
      <c r="A108" s="782" t="s">
        <v>481</v>
      </c>
      <c r="B108" s="783"/>
      <c r="C108" s="783"/>
      <c r="D108" s="783"/>
      <c r="E108" s="783"/>
      <c r="F108" s="783"/>
      <c r="G108" s="783"/>
      <c r="H108" s="783"/>
      <c r="I108" s="783"/>
      <c r="J108" s="784"/>
    </row>
    <row r="109" spans="1:12" ht="15" customHeight="1" x14ac:dyDescent="0.2">
      <c r="A109" s="791" t="s">
        <v>49</v>
      </c>
      <c r="B109" s="792"/>
      <c r="C109" s="792"/>
      <c r="D109" s="793"/>
      <c r="E109" s="800" t="s">
        <v>43</v>
      </c>
      <c r="F109" s="803" t="s">
        <v>104</v>
      </c>
      <c r="G109" s="804" t="s">
        <v>53</v>
      </c>
      <c r="H109" s="792"/>
      <c r="I109" s="792"/>
      <c r="J109" s="805"/>
    </row>
    <row r="110" spans="1:12" ht="15" customHeight="1" x14ac:dyDescent="0.2">
      <c r="A110" s="794"/>
      <c r="B110" s="795"/>
      <c r="C110" s="795"/>
      <c r="D110" s="796"/>
      <c r="E110" s="801"/>
      <c r="F110" s="801"/>
      <c r="G110" s="806"/>
      <c r="H110" s="795"/>
      <c r="I110" s="795"/>
      <c r="J110" s="807"/>
    </row>
    <row r="111" spans="1:12" ht="15" customHeight="1" x14ac:dyDescent="0.2">
      <c r="A111" s="794"/>
      <c r="B111" s="795"/>
      <c r="C111" s="795"/>
      <c r="D111" s="796"/>
      <c r="E111" s="801"/>
      <c r="F111" s="801"/>
      <c r="G111" s="806"/>
      <c r="H111" s="795"/>
      <c r="I111" s="795"/>
      <c r="J111" s="807"/>
    </row>
    <row r="112" spans="1:12" ht="15" customHeight="1" x14ac:dyDescent="0.2">
      <c r="A112" s="794"/>
      <c r="B112" s="795"/>
      <c r="C112" s="795"/>
      <c r="D112" s="796"/>
      <c r="E112" s="801"/>
      <c r="F112" s="801"/>
      <c r="G112" s="806"/>
      <c r="H112" s="795"/>
      <c r="I112" s="795"/>
      <c r="J112" s="807"/>
    </row>
    <row r="113" spans="1:12" ht="15" customHeight="1" x14ac:dyDescent="0.2">
      <c r="A113" s="794"/>
      <c r="B113" s="795"/>
      <c r="C113" s="795"/>
      <c r="D113" s="796"/>
      <c r="E113" s="801"/>
      <c r="F113" s="801"/>
      <c r="G113" s="806"/>
      <c r="H113" s="795"/>
      <c r="I113" s="795"/>
      <c r="J113" s="807"/>
    </row>
    <row r="114" spans="1:12" ht="14.25" customHeight="1" x14ac:dyDescent="0.2">
      <c r="A114" s="797"/>
      <c r="B114" s="798"/>
      <c r="C114" s="798"/>
      <c r="D114" s="799"/>
      <c r="E114" s="802"/>
      <c r="F114" s="802"/>
      <c r="G114" s="808"/>
      <c r="H114" s="798"/>
      <c r="I114" s="798"/>
      <c r="J114" s="809"/>
    </row>
    <row r="115" spans="1:12" ht="15" customHeight="1" x14ac:dyDescent="0.2">
      <c r="A115" s="774"/>
      <c r="B115" s="772"/>
      <c r="C115" s="772"/>
      <c r="D115" s="775"/>
      <c r="E115" s="27"/>
      <c r="F115" s="29"/>
      <c r="G115" s="771"/>
      <c r="H115" s="772"/>
      <c r="I115" s="772"/>
      <c r="J115" s="773"/>
      <c r="K115" s="1">
        <f t="shared" ref="K115:K139" si="4">COUNTBLANK(E115:J115)</f>
        <v>6</v>
      </c>
      <c r="L115" s="1" t="str">
        <f t="shared" ref="L115:L139" si="5">IF(AND(A115&lt;&gt;"",K115&gt;3),"No","Yes")</f>
        <v>Yes</v>
      </c>
    </row>
    <row r="116" spans="1:12" ht="15" customHeight="1" x14ac:dyDescent="0.2">
      <c r="A116" s="774"/>
      <c r="B116" s="772"/>
      <c r="C116" s="772"/>
      <c r="D116" s="775"/>
      <c r="E116" s="27"/>
      <c r="F116" s="29"/>
      <c r="G116" s="771"/>
      <c r="H116" s="772"/>
      <c r="I116" s="772"/>
      <c r="J116" s="773"/>
      <c r="K116" s="1">
        <f t="shared" si="4"/>
        <v>6</v>
      </c>
      <c r="L116" s="1" t="str">
        <f t="shared" si="5"/>
        <v>Yes</v>
      </c>
    </row>
    <row r="117" spans="1:12" ht="15" customHeight="1" x14ac:dyDescent="0.2">
      <c r="A117" s="774"/>
      <c r="B117" s="772"/>
      <c r="C117" s="772"/>
      <c r="D117" s="775"/>
      <c r="E117" s="27"/>
      <c r="F117" s="29"/>
      <c r="G117" s="771"/>
      <c r="H117" s="772"/>
      <c r="I117" s="772"/>
      <c r="J117" s="773"/>
      <c r="K117" s="1">
        <f t="shared" si="4"/>
        <v>6</v>
      </c>
      <c r="L117" s="1" t="str">
        <f t="shared" si="5"/>
        <v>Yes</v>
      </c>
    </row>
    <row r="118" spans="1:12" ht="15" customHeight="1" x14ac:dyDescent="0.2">
      <c r="A118" s="774"/>
      <c r="B118" s="772"/>
      <c r="C118" s="772"/>
      <c r="D118" s="775"/>
      <c r="E118" s="27"/>
      <c r="F118" s="29"/>
      <c r="G118" s="771"/>
      <c r="H118" s="772"/>
      <c r="I118" s="772"/>
      <c r="J118" s="773"/>
      <c r="K118" s="1">
        <f t="shared" si="4"/>
        <v>6</v>
      </c>
      <c r="L118" s="1" t="str">
        <f t="shared" si="5"/>
        <v>Yes</v>
      </c>
    </row>
    <row r="119" spans="1:12" ht="15" customHeight="1" x14ac:dyDescent="0.2">
      <c r="A119" s="774"/>
      <c r="B119" s="772"/>
      <c r="C119" s="772"/>
      <c r="D119" s="775"/>
      <c r="E119" s="27"/>
      <c r="F119" s="29"/>
      <c r="G119" s="771"/>
      <c r="H119" s="772"/>
      <c r="I119" s="772"/>
      <c r="J119" s="773"/>
      <c r="K119" s="1">
        <f t="shared" si="4"/>
        <v>6</v>
      </c>
      <c r="L119" s="1" t="str">
        <f t="shared" si="5"/>
        <v>Yes</v>
      </c>
    </row>
    <row r="120" spans="1:12" ht="15" customHeight="1" x14ac:dyDescent="0.2">
      <c r="A120" s="774"/>
      <c r="B120" s="772"/>
      <c r="C120" s="772"/>
      <c r="D120" s="775"/>
      <c r="E120" s="27"/>
      <c r="F120" s="29"/>
      <c r="G120" s="771"/>
      <c r="H120" s="772"/>
      <c r="I120" s="772"/>
      <c r="J120" s="773"/>
      <c r="K120" s="1">
        <f t="shared" si="4"/>
        <v>6</v>
      </c>
      <c r="L120" s="1" t="str">
        <f t="shared" si="5"/>
        <v>Yes</v>
      </c>
    </row>
    <row r="121" spans="1:12" ht="15" customHeight="1" x14ac:dyDescent="0.2">
      <c r="A121" s="774"/>
      <c r="B121" s="772"/>
      <c r="C121" s="772"/>
      <c r="D121" s="775"/>
      <c r="E121" s="27"/>
      <c r="F121" s="29"/>
      <c r="G121" s="771"/>
      <c r="H121" s="772"/>
      <c r="I121" s="772"/>
      <c r="J121" s="773"/>
      <c r="K121" s="1">
        <f t="shared" si="4"/>
        <v>6</v>
      </c>
      <c r="L121" s="1" t="str">
        <f t="shared" si="5"/>
        <v>Yes</v>
      </c>
    </row>
    <row r="122" spans="1:12" ht="15" customHeight="1" x14ac:dyDescent="0.2">
      <c r="A122" s="774"/>
      <c r="B122" s="772"/>
      <c r="C122" s="772"/>
      <c r="D122" s="775"/>
      <c r="E122" s="27"/>
      <c r="F122" s="29"/>
      <c r="G122" s="771"/>
      <c r="H122" s="772"/>
      <c r="I122" s="772"/>
      <c r="J122" s="773"/>
      <c r="K122" s="1">
        <f t="shared" si="4"/>
        <v>6</v>
      </c>
      <c r="L122" s="1" t="str">
        <f t="shared" si="5"/>
        <v>Yes</v>
      </c>
    </row>
    <row r="123" spans="1:12" ht="15" customHeight="1" x14ac:dyDescent="0.2">
      <c r="A123" s="774"/>
      <c r="B123" s="772"/>
      <c r="C123" s="772"/>
      <c r="D123" s="775"/>
      <c r="E123" s="27"/>
      <c r="F123" s="29"/>
      <c r="G123" s="771"/>
      <c r="H123" s="772"/>
      <c r="I123" s="772"/>
      <c r="J123" s="773"/>
      <c r="K123" s="1">
        <f t="shared" si="4"/>
        <v>6</v>
      </c>
      <c r="L123" s="1" t="str">
        <f t="shared" si="5"/>
        <v>Yes</v>
      </c>
    </row>
    <row r="124" spans="1:12" ht="15" customHeight="1" x14ac:dyDescent="0.2">
      <c r="A124" s="774"/>
      <c r="B124" s="772"/>
      <c r="C124" s="772"/>
      <c r="D124" s="775"/>
      <c r="E124" s="27"/>
      <c r="F124" s="29"/>
      <c r="G124" s="771"/>
      <c r="H124" s="772"/>
      <c r="I124" s="772"/>
      <c r="J124" s="773"/>
      <c r="K124" s="1">
        <f t="shared" si="4"/>
        <v>6</v>
      </c>
      <c r="L124" s="1" t="str">
        <f t="shared" si="5"/>
        <v>Yes</v>
      </c>
    </row>
    <row r="125" spans="1:12" ht="15" customHeight="1" x14ac:dyDescent="0.2">
      <c r="A125" s="774"/>
      <c r="B125" s="772"/>
      <c r="C125" s="772"/>
      <c r="D125" s="775"/>
      <c r="E125" s="27"/>
      <c r="F125" s="29"/>
      <c r="G125" s="771"/>
      <c r="H125" s="772"/>
      <c r="I125" s="772"/>
      <c r="J125" s="773"/>
      <c r="K125" s="1">
        <f t="shared" si="4"/>
        <v>6</v>
      </c>
      <c r="L125" s="1" t="str">
        <f t="shared" si="5"/>
        <v>Yes</v>
      </c>
    </row>
    <row r="126" spans="1:12" ht="15" customHeight="1" x14ac:dyDescent="0.2">
      <c r="A126" s="774"/>
      <c r="B126" s="772"/>
      <c r="C126" s="772"/>
      <c r="D126" s="775"/>
      <c r="E126" s="27"/>
      <c r="F126" s="29"/>
      <c r="G126" s="771"/>
      <c r="H126" s="772"/>
      <c r="I126" s="772"/>
      <c r="J126" s="773"/>
      <c r="K126" s="1">
        <f t="shared" si="4"/>
        <v>6</v>
      </c>
      <c r="L126" s="1" t="str">
        <f t="shared" si="5"/>
        <v>Yes</v>
      </c>
    </row>
    <row r="127" spans="1:12" ht="15" customHeight="1" x14ac:dyDescent="0.2">
      <c r="A127" s="774"/>
      <c r="B127" s="772"/>
      <c r="C127" s="772"/>
      <c r="D127" s="775"/>
      <c r="E127" s="27"/>
      <c r="F127" s="29"/>
      <c r="G127" s="771"/>
      <c r="H127" s="772"/>
      <c r="I127" s="772"/>
      <c r="J127" s="773"/>
      <c r="K127" s="1">
        <f t="shared" si="4"/>
        <v>6</v>
      </c>
      <c r="L127" s="1" t="str">
        <f t="shared" si="5"/>
        <v>Yes</v>
      </c>
    </row>
    <row r="128" spans="1:12" ht="15" customHeight="1" x14ac:dyDescent="0.2">
      <c r="A128" s="774"/>
      <c r="B128" s="772"/>
      <c r="C128" s="772"/>
      <c r="D128" s="775"/>
      <c r="E128" s="27"/>
      <c r="F128" s="29"/>
      <c r="G128" s="771"/>
      <c r="H128" s="772"/>
      <c r="I128" s="772"/>
      <c r="J128" s="773"/>
      <c r="K128" s="1">
        <f t="shared" si="4"/>
        <v>6</v>
      </c>
      <c r="L128" s="1" t="str">
        <f t="shared" si="5"/>
        <v>Yes</v>
      </c>
    </row>
    <row r="129" spans="1:12" ht="15" customHeight="1" x14ac:dyDescent="0.2">
      <c r="A129" s="774"/>
      <c r="B129" s="772"/>
      <c r="C129" s="772"/>
      <c r="D129" s="775"/>
      <c r="E129" s="27"/>
      <c r="F129" s="29"/>
      <c r="G129" s="771"/>
      <c r="H129" s="772"/>
      <c r="I129" s="772"/>
      <c r="J129" s="773"/>
      <c r="K129" s="1">
        <f t="shared" si="4"/>
        <v>6</v>
      </c>
      <c r="L129" s="1" t="str">
        <f t="shared" si="5"/>
        <v>Yes</v>
      </c>
    </row>
    <row r="130" spans="1:12" ht="15" customHeight="1" x14ac:dyDescent="0.2">
      <c r="A130" s="774"/>
      <c r="B130" s="772"/>
      <c r="C130" s="772"/>
      <c r="D130" s="775"/>
      <c r="E130" s="27"/>
      <c r="F130" s="29"/>
      <c r="G130" s="771"/>
      <c r="H130" s="772"/>
      <c r="I130" s="772"/>
      <c r="J130" s="773"/>
      <c r="K130" s="1">
        <f t="shared" si="4"/>
        <v>6</v>
      </c>
      <c r="L130" s="1" t="str">
        <f t="shared" si="5"/>
        <v>Yes</v>
      </c>
    </row>
    <row r="131" spans="1:12" ht="15" customHeight="1" x14ac:dyDescent="0.2">
      <c r="A131" s="774"/>
      <c r="B131" s="772"/>
      <c r="C131" s="772"/>
      <c r="D131" s="775"/>
      <c r="E131" s="27"/>
      <c r="F131" s="29"/>
      <c r="G131" s="771"/>
      <c r="H131" s="772"/>
      <c r="I131" s="772"/>
      <c r="J131" s="773"/>
      <c r="K131" s="1">
        <f t="shared" si="4"/>
        <v>6</v>
      </c>
      <c r="L131" s="1" t="str">
        <f t="shared" si="5"/>
        <v>Yes</v>
      </c>
    </row>
    <row r="132" spans="1:12" ht="15" customHeight="1" x14ac:dyDescent="0.2">
      <c r="A132" s="774"/>
      <c r="B132" s="772"/>
      <c r="C132" s="772"/>
      <c r="D132" s="775"/>
      <c r="E132" s="27"/>
      <c r="F132" s="29"/>
      <c r="G132" s="771"/>
      <c r="H132" s="772"/>
      <c r="I132" s="772"/>
      <c r="J132" s="773"/>
      <c r="K132" s="1">
        <f t="shared" si="4"/>
        <v>6</v>
      </c>
      <c r="L132" s="1" t="str">
        <f t="shared" si="5"/>
        <v>Yes</v>
      </c>
    </row>
    <row r="133" spans="1:12" ht="15" customHeight="1" x14ac:dyDescent="0.2">
      <c r="A133" s="774"/>
      <c r="B133" s="772"/>
      <c r="C133" s="772"/>
      <c r="D133" s="775"/>
      <c r="E133" s="27"/>
      <c r="F133" s="29"/>
      <c r="G133" s="771"/>
      <c r="H133" s="772"/>
      <c r="I133" s="772"/>
      <c r="J133" s="773"/>
      <c r="K133" s="1">
        <f t="shared" si="4"/>
        <v>6</v>
      </c>
      <c r="L133" s="1" t="str">
        <f t="shared" si="5"/>
        <v>Yes</v>
      </c>
    </row>
    <row r="134" spans="1:12" ht="15" customHeight="1" x14ac:dyDescent="0.2">
      <c r="A134" s="774"/>
      <c r="B134" s="772"/>
      <c r="C134" s="772"/>
      <c r="D134" s="775"/>
      <c r="E134" s="27"/>
      <c r="F134" s="29"/>
      <c r="G134" s="771"/>
      <c r="H134" s="772"/>
      <c r="I134" s="772"/>
      <c r="J134" s="773"/>
      <c r="K134" s="1">
        <f t="shared" si="4"/>
        <v>6</v>
      </c>
      <c r="L134" s="1" t="str">
        <f t="shared" si="5"/>
        <v>Yes</v>
      </c>
    </row>
    <row r="135" spans="1:12" ht="15" customHeight="1" x14ac:dyDescent="0.2">
      <c r="A135" s="774"/>
      <c r="B135" s="772"/>
      <c r="C135" s="772"/>
      <c r="D135" s="775"/>
      <c r="E135" s="27"/>
      <c r="F135" s="29"/>
      <c r="G135" s="771"/>
      <c r="H135" s="772"/>
      <c r="I135" s="772"/>
      <c r="J135" s="773"/>
      <c r="K135" s="1">
        <f t="shared" si="4"/>
        <v>6</v>
      </c>
      <c r="L135" s="1" t="str">
        <f t="shared" si="5"/>
        <v>Yes</v>
      </c>
    </row>
    <row r="136" spans="1:12" ht="15" customHeight="1" x14ac:dyDescent="0.2">
      <c r="A136" s="774"/>
      <c r="B136" s="772"/>
      <c r="C136" s="772"/>
      <c r="D136" s="775"/>
      <c r="E136" s="27"/>
      <c r="F136" s="29"/>
      <c r="G136" s="771"/>
      <c r="H136" s="772"/>
      <c r="I136" s="772"/>
      <c r="J136" s="773"/>
      <c r="K136" s="1">
        <f t="shared" si="4"/>
        <v>6</v>
      </c>
      <c r="L136" s="1" t="str">
        <f t="shared" si="5"/>
        <v>Yes</v>
      </c>
    </row>
    <row r="137" spans="1:12" ht="15" customHeight="1" x14ac:dyDescent="0.2">
      <c r="A137" s="774"/>
      <c r="B137" s="772"/>
      <c r="C137" s="772"/>
      <c r="D137" s="775"/>
      <c r="E137" s="27"/>
      <c r="F137" s="29"/>
      <c r="G137" s="771"/>
      <c r="H137" s="772"/>
      <c r="I137" s="772"/>
      <c r="J137" s="773"/>
      <c r="K137" s="1">
        <f t="shared" si="4"/>
        <v>6</v>
      </c>
      <c r="L137" s="1" t="str">
        <f t="shared" si="5"/>
        <v>Yes</v>
      </c>
    </row>
    <row r="138" spans="1:12" ht="15" customHeight="1" x14ac:dyDescent="0.2">
      <c r="A138" s="774"/>
      <c r="B138" s="772"/>
      <c r="C138" s="772"/>
      <c r="D138" s="775"/>
      <c r="E138" s="27"/>
      <c r="F138" s="29"/>
      <c r="G138" s="771"/>
      <c r="H138" s="772"/>
      <c r="I138" s="772"/>
      <c r="J138" s="773"/>
      <c r="K138" s="1">
        <f t="shared" si="4"/>
        <v>6</v>
      </c>
      <c r="L138" s="1" t="str">
        <f t="shared" si="5"/>
        <v>Yes</v>
      </c>
    </row>
    <row r="139" spans="1:12" ht="15" customHeight="1" x14ac:dyDescent="0.2">
      <c r="A139" s="774"/>
      <c r="B139" s="772"/>
      <c r="C139" s="772"/>
      <c r="D139" s="775"/>
      <c r="E139" s="27"/>
      <c r="F139" s="29"/>
      <c r="G139" s="771"/>
      <c r="H139" s="772"/>
      <c r="I139" s="772"/>
      <c r="J139" s="773"/>
      <c r="K139" s="1">
        <f t="shared" si="4"/>
        <v>6</v>
      </c>
      <c r="L139" s="1" t="str">
        <f t="shared" si="5"/>
        <v>Yes</v>
      </c>
    </row>
    <row r="140" spans="1:12" ht="15" customHeight="1" x14ac:dyDescent="0.2">
      <c r="A140" s="785" t="s">
        <v>91</v>
      </c>
      <c r="B140" s="786"/>
      <c r="C140" s="786"/>
      <c r="D140" s="786"/>
      <c r="E140" s="787"/>
      <c r="F140" s="788">
        <f>SUM(F115:F139)</f>
        <v>0</v>
      </c>
      <c r="G140" s="789"/>
      <c r="H140" s="789"/>
      <c r="I140" s="789"/>
      <c r="J140" s="790"/>
      <c r="L140" s="1">
        <f>COUNTIF(L115:L139,"Yes")</f>
        <v>25</v>
      </c>
    </row>
    <row r="141" spans="1:12" ht="15" customHeight="1" x14ac:dyDescent="0.2">
      <c r="A141" s="810"/>
      <c r="B141" s="811"/>
      <c r="C141" s="811"/>
      <c r="D141" s="811"/>
      <c r="E141" s="811"/>
      <c r="F141" s="811"/>
      <c r="G141" s="811"/>
      <c r="H141" s="811"/>
      <c r="I141" s="811"/>
      <c r="J141" s="812"/>
    </row>
    <row r="142" spans="1:12" ht="18" customHeight="1" x14ac:dyDescent="0.2">
      <c r="A142" s="782" t="s">
        <v>45</v>
      </c>
      <c r="B142" s="783"/>
      <c r="C142" s="783"/>
      <c r="D142" s="783"/>
      <c r="E142" s="783"/>
      <c r="F142" s="783"/>
      <c r="G142" s="783"/>
      <c r="H142" s="783"/>
      <c r="I142" s="783"/>
      <c r="J142" s="784"/>
    </row>
    <row r="143" spans="1:12" ht="18" customHeight="1" x14ac:dyDescent="0.2">
      <c r="A143" s="782" t="s">
        <v>481</v>
      </c>
      <c r="B143" s="783"/>
      <c r="C143" s="783"/>
      <c r="D143" s="783"/>
      <c r="E143" s="783"/>
      <c r="F143" s="783"/>
      <c r="G143" s="783"/>
      <c r="H143" s="783"/>
      <c r="I143" s="783"/>
      <c r="J143" s="784"/>
    </row>
    <row r="144" spans="1:12" ht="15" customHeight="1" x14ac:dyDescent="0.2">
      <c r="A144" s="791" t="s">
        <v>49</v>
      </c>
      <c r="B144" s="792"/>
      <c r="C144" s="792"/>
      <c r="D144" s="793"/>
      <c r="E144" s="800" t="s">
        <v>43</v>
      </c>
      <c r="F144" s="803" t="s">
        <v>104</v>
      </c>
      <c r="G144" s="804" t="s">
        <v>53</v>
      </c>
      <c r="H144" s="822"/>
      <c r="I144" s="822"/>
      <c r="J144" s="823"/>
    </row>
    <row r="145" spans="1:12" ht="15" customHeight="1" x14ac:dyDescent="0.2">
      <c r="A145" s="794"/>
      <c r="B145" s="795"/>
      <c r="C145" s="795"/>
      <c r="D145" s="796"/>
      <c r="E145" s="801"/>
      <c r="F145" s="801"/>
      <c r="G145" s="824"/>
      <c r="H145" s="825"/>
      <c r="I145" s="825"/>
      <c r="J145" s="826"/>
    </row>
    <row r="146" spans="1:12" ht="15" customHeight="1" x14ac:dyDescent="0.2">
      <c r="A146" s="794"/>
      <c r="B146" s="795"/>
      <c r="C146" s="795"/>
      <c r="D146" s="796"/>
      <c r="E146" s="801"/>
      <c r="F146" s="801"/>
      <c r="G146" s="824"/>
      <c r="H146" s="825"/>
      <c r="I146" s="825"/>
      <c r="J146" s="826"/>
    </row>
    <row r="147" spans="1:12" ht="15" customHeight="1" x14ac:dyDescent="0.2">
      <c r="A147" s="794"/>
      <c r="B147" s="795"/>
      <c r="C147" s="795"/>
      <c r="D147" s="796"/>
      <c r="E147" s="801"/>
      <c r="F147" s="801"/>
      <c r="G147" s="824"/>
      <c r="H147" s="825"/>
      <c r="I147" s="825"/>
      <c r="J147" s="826"/>
    </row>
    <row r="148" spans="1:12" ht="15" customHeight="1" x14ac:dyDescent="0.2">
      <c r="A148" s="794"/>
      <c r="B148" s="795"/>
      <c r="C148" s="795"/>
      <c r="D148" s="796"/>
      <c r="E148" s="801"/>
      <c r="F148" s="801"/>
      <c r="G148" s="824"/>
      <c r="H148" s="825"/>
      <c r="I148" s="825"/>
      <c r="J148" s="826"/>
    </row>
    <row r="149" spans="1:12" ht="14.25" customHeight="1" x14ac:dyDescent="0.2">
      <c r="A149" s="797"/>
      <c r="B149" s="798"/>
      <c r="C149" s="798"/>
      <c r="D149" s="799"/>
      <c r="E149" s="802"/>
      <c r="F149" s="802"/>
      <c r="G149" s="827"/>
      <c r="H149" s="828"/>
      <c r="I149" s="828"/>
      <c r="J149" s="829"/>
    </row>
    <row r="150" spans="1:12" ht="15" customHeight="1" x14ac:dyDescent="0.2">
      <c r="A150" s="774"/>
      <c r="B150" s="772"/>
      <c r="C150" s="772"/>
      <c r="D150" s="775"/>
      <c r="E150" s="27"/>
      <c r="F150" s="29"/>
      <c r="G150" s="771"/>
      <c r="H150" s="830"/>
      <c r="I150" s="830"/>
      <c r="J150" s="831"/>
      <c r="K150" s="1">
        <f t="shared" ref="K150:K174" si="6">COUNTBLANK(E150:J150)</f>
        <v>6</v>
      </c>
      <c r="L150" s="1" t="str">
        <f t="shared" ref="L150:L174" si="7">IF(AND(A150&lt;&gt;"",K150&gt;3),"No","Yes")</f>
        <v>Yes</v>
      </c>
    </row>
    <row r="151" spans="1:12" ht="15" customHeight="1" x14ac:dyDescent="0.2">
      <c r="A151" s="774"/>
      <c r="B151" s="772"/>
      <c r="C151" s="772"/>
      <c r="D151" s="775"/>
      <c r="E151" s="27"/>
      <c r="F151" s="29"/>
      <c r="G151" s="771"/>
      <c r="H151" s="772"/>
      <c r="I151" s="772"/>
      <c r="J151" s="773"/>
      <c r="K151" s="1">
        <f t="shared" si="6"/>
        <v>6</v>
      </c>
      <c r="L151" s="1" t="str">
        <f t="shared" si="7"/>
        <v>Yes</v>
      </c>
    </row>
    <row r="152" spans="1:12" ht="15" customHeight="1" x14ac:dyDescent="0.2">
      <c r="A152" s="774"/>
      <c r="B152" s="772"/>
      <c r="C152" s="772"/>
      <c r="D152" s="775"/>
      <c r="E152" s="27"/>
      <c r="F152" s="29"/>
      <c r="G152" s="771"/>
      <c r="H152" s="772"/>
      <c r="I152" s="772"/>
      <c r="J152" s="773"/>
      <c r="K152" s="1">
        <f t="shared" si="6"/>
        <v>6</v>
      </c>
      <c r="L152" s="1" t="str">
        <f t="shared" si="7"/>
        <v>Yes</v>
      </c>
    </row>
    <row r="153" spans="1:12" ht="15" customHeight="1" x14ac:dyDescent="0.2">
      <c r="A153" s="774"/>
      <c r="B153" s="772"/>
      <c r="C153" s="772"/>
      <c r="D153" s="775"/>
      <c r="E153" s="27"/>
      <c r="F153" s="29"/>
      <c r="G153" s="771"/>
      <c r="H153" s="772"/>
      <c r="I153" s="772"/>
      <c r="J153" s="773"/>
      <c r="K153" s="1">
        <f t="shared" si="6"/>
        <v>6</v>
      </c>
      <c r="L153" s="1" t="str">
        <f t="shared" si="7"/>
        <v>Yes</v>
      </c>
    </row>
    <row r="154" spans="1:12" ht="15" customHeight="1" x14ac:dyDescent="0.2">
      <c r="A154" s="774"/>
      <c r="B154" s="772"/>
      <c r="C154" s="772"/>
      <c r="D154" s="775"/>
      <c r="E154" s="27"/>
      <c r="F154" s="29"/>
      <c r="G154" s="771"/>
      <c r="H154" s="772"/>
      <c r="I154" s="772"/>
      <c r="J154" s="773"/>
      <c r="K154" s="1">
        <f t="shared" si="6"/>
        <v>6</v>
      </c>
      <c r="L154" s="1" t="str">
        <f t="shared" si="7"/>
        <v>Yes</v>
      </c>
    </row>
    <row r="155" spans="1:12" ht="15" customHeight="1" x14ac:dyDescent="0.2">
      <c r="A155" s="774"/>
      <c r="B155" s="772"/>
      <c r="C155" s="772"/>
      <c r="D155" s="775"/>
      <c r="E155" s="27"/>
      <c r="F155" s="29"/>
      <c r="G155" s="771"/>
      <c r="H155" s="772"/>
      <c r="I155" s="772"/>
      <c r="J155" s="773"/>
      <c r="K155" s="1">
        <f t="shared" si="6"/>
        <v>6</v>
      </c>
      <c r="L155" s="1" t="str">
        <f t="shared" si="7"/>
        <v>Yes</v>
      </c>
    </row>
    <row r="156" spans="1:12" ht="15" customHeight="1" x14ac:dyDescent="0.2">
      <c r="A156" s="774"/>
      <c r="B156" s="772"/>
      <c r="C156" s="772"/>
      <c r="D156" s="775"/>
      <c r="E156" s="27"/>
      <c r="F156" s="29"/>
      <c r="G156" s="771"/>
      <c r="H156" s="772"/>
      <c r="I156" s="772"/>
      <c r="J156" s="773"/>
      <c r="K156" s="1">
        <f t="shared" si="6"/>
        <v>6</v>
      </c>
      <c r="L156" s="1" t="str">
        <f t="shared" si="7"/>
        <v>Yes</v>
      </c>
    </row>
    <row r="157" spans="1:12" ht="15" customHeight="1" x14ac:dyDescent="0.2">
      <c r="A157" s="774"/>
      <c r="B157" s="772"/>
      <c r="C157" s="772"/>
      <c r="D157" s="775"/>
      <c r="E157" s="27"/>
      <c r="F157" s="29"/>
      <c r="G157" s="771"/>
      <c r="H157" s="772"/>
      <c r="I157" s="772"/>
      <c r="J157" s="773"/>
      <c r="K157" s="1">
        <f t="shared" si="6"/>
        <v>6</v>
      </c>
      <c r="L157" s="1" t="str">
        <f t="shared" si="7"/>
        <v>Yes</v>
      </c>
    </row>
    <row r="158" spans="1:12" ht="15" customHeight="1" x14ac:dyDescent="0.2">
      <c r="A158" s="774"/>
      <c r="B158" s="772"/>
      <c r="C158" s="772"/>
      <c r="D158" s="775"/>
      <c r="E158" s="27"/>
      <c r="F158" s="29"/>
      <c r="G158" s="771"/>
      <c r="H158" s="772"/>
      <c r="I158" s="772"/>
      <c r="J158" s="773"/>
      <c r="K158" s="1">
        <f t="shared" si="6"/>
        <v>6</v>
      </c>
      <c r="L158" s="1" t="str">
        <f t="shared" si="7"/>
        <v>Yes</v>
      </c>
    </row>
    <row r="159" spans="1:12" ht="15" customHeight="1" x14ac:dyDescent="0.2">
      <c r="A159" s="774"/>
      <c r="B159" s="772"/>
      <c r="C159" s="772"/>
      <c r="D159" s="775"/>
      <c r="E159" s="27"/>
      <c r="F159" s="29"/>
      <c r="G159" s="771"/>
      <c r="H159" s="772"/>
      <c r="I159" s="772"/>
      <c r="J159" s="773"/>
      <c r="K159" s="1">
        <f t="shared" si="6"/>
        <v>6</v>
      </c>
      <c r="L159" s="1" t="str">
        <f t="shared" si="7"/>
        <v>Yes</v>
      </c>
    </row>
    <row r="160" spans="1:12" ht="15" customHeight="1" x14ac:dyDescent="0.2">
      <c r="A160" s="774"/>
      <c r="B160" s="772"/>
      <c r="C160" s="772"/>
      <c r="D160" s="775"/>
      <c r="E160" s="27"/>
      <c r="F160" s="29"/>
      <c r="G160" s="771"/>
      <c r="H160" s="772"/>
      <c r="I160" s="772"/>
      <c r="J160" s="773"/>
      <c r="K160" s="1">
        <f t="shared" si="6"/>
        <v>6</v>
      </c>
      <c r="L160" s="1" t="str">
        <f t="shared" si="7"/>
        <v>Yes</v>
      </c>
    </row>
    <row r="161" spans="1:12" ht="15" customHeight="1" x14ac:dyDescent="0.2">
      <c r="A161" s="774"/>
      <c r="B161" s="772"/>
      <c r="C161" s="772"/>
      <c r="D161" s="775"/>
      <c r="E161" s="27"/>
      <c r="F161" s="29"/>
      <c r="G161" s="771"/>
      <c r="H161" s="772"/>
      <c r="I161" s="772"/>
      <c r="J161" s="773"/>
      <c r="K161" s="1">
        <f t="shared" si="6"/>
        <v>6</v>
      </c>
      <c r="L161" s="1" t="str">
        <f t="shared" si="7"/>
        <v>Yes</v>
      </c>
    </row>
    <row r="162" spans="1:12" ht="15" customHeight="1" x14ac:dyDescent="0.2">
      <c r="A162" s="774"/>
      <c r="B162" s="772"/>
      <c r="C162" s="772"/>
      <c r="D162" s="775"/>
      <c r="E162" s="27"/>
      <c r="F162" s="29"/>
      <c r="G162" s="771"/>
      <c r="H162" s="772"/>
      <c r="I162" s="772"/>
      <c r="J162" s="773"/>
      <c r="K162" s="1">
        <f t="shared" si="6"/>
        <v>6</v>
      </c>
      <c r="L162" s="1" t="str">
        <f t="shared" si="7"/>
        <v>Yes</v>
      </c>
    </row>
    <row r="163" spans="1:12" ht="15" customHeight="1" x14ac:dyDescent="0.2">
      <c r="A163" s="774"/>
      <c r="B163" s="772"/>
      <c r="C163" s="772"/>
      <c r="D163" s="775"/>
      <c r="E163" s="27"/>
      <c r="F163" s="29"/>
      <c r="G163" s="771"/>
      <c r="H163" s="772"/>
      <c r="I163" s="772"/>
      <c r="J163" s="773"/>
      <c r="K163" s="1">
        <f t="shared" si="6"/>
        <v>6</v>
      </c>
      <c r="L163" s="1" t="str">
        <f t="shared" si="7"/>
        <v>Yes</v>
      </c>
    </row>
    <row r="164" spans="1:12" ht="15" customHeight="1" x14ac:dyDescent="0.2">
      <c r="A164" s="774"/>
      <c r="B164" s="772"/>
      <c r="C164" s="772"/>
      <c r="D164" s="775"/>
      <c r="E164" s="27"/>
      <c r="F164" s="29"/>
      <c r="G164" s="771"/>
      <c r="H164" s="772"/>
      <c r="I164" s="772"/>
      <c r="J164" s="773"/>
      <c r="K164" s="1">
        <f t="shared" si="6"/>
        <v>6</v>
      </c>
      <c r="L164" s="1" t="str">
        <f t="shared" si="7"/>
        <v>Yes</v>
      </c>
    </row>
    <row r="165" spans="1:12" ht="15" customHeight="1" x14ac:dyDescent="0.2">
      <c r="A165" s="774"/>
      <c r="B165" s="772"/>
      <c r="C165" s="772"/>
      <c r="D165" s="775"/>
      <c r="E165" s="27"/>
      <c r="F165" s="29"/>
      <c r="G165" s="771"/>
      <c r="H165" s="772"/>
      <c r="I165" s="772"/>
      <c r="J165" s="773"/>
      <c r="K165" s="1">
        <f t="shared" si="6"/>
        <v>6</v>
      </c>
      <c r="L165" s="1" t="str">
        <f t="shared" si="7"/>
        <v>Yes</v>
      </c>
    </row>
    <row r="166" spans="1:12" ht="15" customHeight="1" x14ac:dyDescent="0.2">
      <c r="A166" s="774"/>
      <c r="B166" s="772"/>
      <c r="C166" s="772"/>
      <c r="D166" s="775"/>
      <c r="E166" s="27"/>
      <c r="F166" s="29"/>
      <c r="G166" s="771"/>
      <c r="H166" s="772"/>
      <c r="I166" s="772"/>
      <c r="J166" s="773"/>
      <c r="K166" s="1">
        <f t="shared" si="6"/>
        <v>6</v>
      </c>
      <c r="L166" s="1" t="str">
        <f t="shared" si="7"/>
        <v>Yes</v>
      </c>
    </row>
    <row r="167" spans="1:12" ht="15" customHeight="1" x14ac:dyDescent="0.2">
      <c r="A167" s="774"/>
      <c r="B167" s="772"/>
      <c r="C167" s="772"/>
      <c r="D167" s="775"/>
      <c r="E167" s="27"/>
      <c r="F167" s="29"/>
      <c r="G167" s="771"/>
      <c r="H167" s="772"/>
      <c r="I167" s="772"/>
      <c r="J167" s="773"/>
      <c r="K167" s="1">
        <f t="shared" si="6"/>
        <v>6</v>
      </c>
      <c r="L167" s="1" t="str">
        <f t="shared" si="7"/>
        <v>Yes</v>
      </c>
    </row>
    <row r="168" spans="1:12" ht="15" customHeight="1" x14ac:dyDescent="0.2">
      <c r="A168" s="774"/>
      <c r="B168" s="772"/>
      <c r="C168" s="772"/>
      <c r="D168" s="775"/>
      <c r="E168" s="27"/>
      <c r="F168" s="29"/>
      <c r="G168" s="771"/>
      <c r="H168" s="772"/>
      <c r="I168" s="772"/>
      <c r="J168" s="773"/>
      <c r="K168" s="1">
        <f t="shared" si="6"/>
        <v>6</v>
      </c>
      <c r="L168" s="1" t="str">
        <f t="shared" si="7"/>
        <v>Yes</v>
      </c>
    </row>
    <row r="169" spans="1:12" ht="15" customHeight="1" x14ac:dyDescent="0.2">
      <c r="A169" s="774"/>
      <c r="B169" s="772"/>
      <c r="C169" s="772"/>
      <c r="D169" s="775"/>
      <c r="E169" s="27"/>
      <c r="F169" s="29"/>
      <c r="G169" s="771"/>
      <c r="H169" s="772"/>
      <c r="I169" s="772"/>
      <c r="J169" s="773"/>
      <c r="K169" s="1">
        <f t="shared" si="6"/>
        <v>6</v>
      </c>
      <c r="L169" s="1" t="str">
        <f t="shared" si="7"/>
        <v>Yes</v>
      </c>
    </row>
    <row r="170" spans="1:12" ht="15" customHeight="1" x14ac:dyDescent="0.2">
      <c r="A170" s="774"/>
      <c r="B170" s="772"/>
      <c r="C170" s="772"/>
      <c r="D170" s="775"/>
      <c r="E170" s="27"/>
      <c r="F170" s="29"/>
      <c r="G170" s="771"/>
      <c r="H170" s="772"/>
      <c r="I170" s="772"/>
      <c r="J170" s="773"/>
      <c r="K170" s="1">
        <f t="shared" si="6"/>
        <v>6</v>
      </c>
      <c r="L170" s="1" t="str">
        <f t="shared" si="7"/>
        <v>Yes</v>
      </c>
    </row>
    <row r="171" spans="1:12" ht="15" customHeight="1" x14ac:dyDescent="0.2">
      <c r="A171" s="774"/>
      <c r="B171" s="772"/>
      <c r="C171" s="772"/>
      <c r="D171" s="775"/>
      <c r="E171" s="27"/>
      <c r="F171" s="29"/>
      <c r="G171" s="771"/>
      <c r="H171" s="772"/>
      <c r="I171" s="772"/>
      <c r="J171" s="773"/>
      <c r="K171" s="1">
        <f t="shared" si="6"/>
        <v>6</v>
      </c>
      <c r="L171" s="1" t="str">
        <f t="shared" si="7"/>
        <v>Yes</v>
      </c>
    </row>
    <row r="172" spans="1:12" ht="15" customHeight="1" x14ac:dyDescent="0.2">
      <c r="A172" s="774"/>
      <c r="B172" s="772"/>
      <c r="C172" s="772"/>
      <c r="D172" s="775"/>
      <c r="E172" s="27"/>
      <c r="F172" s="29"/>
      <c r="G172" s="771"/>
      <c r="H172" s="772"/>
      <c r="I172" s="772"/>
      <c r="J172" s="773"/>
      <c r="K172" s="1">
        <f t="shared" si="6"/>
        <v>6</v>
      </c>
      <c r="L172" s="1" t="str">
        <f t="shared" si="7"/>
        <v>Yes</v>
      </c>
    </row>
    <row r="173" spans="1:12" ht="15" customHeight="1" x14ac:dyDescent="0.2">
      <c r="A173" s="774"/>
      <c r="B173" s="772"/>
      <c r="C173" s="772"/>
      <c r="D173" s="775"/>
      <c r="E173" s="27"/>
      <c r="F173" s="29"/>
      <c r="G173" s="771"/>
      <c r="H173" s="772"/>
      <c r="I173" s="772"/>
      <c r="J173" s="773"/>
      <c r="K173" s="1">
        <f t="shared" si="6"/>
        <v>6</v>
      </c>
      <c r="L173" s="1" t="str">
        <f t="shared" si="7"/>
        <v>Yes</v>
      </c>
    </row>
    <row r="174" spans="1:12" ht="15" customHeight="1" x14ac:dyDescent="0.2">
      <c r="A174" s="774"/>
      <c r="B174" s="772"/>
      <c r="C174" s="772"/>
      <c r="D174" s="775"/>
      <c r="E174" s="27"/>
      <c r="F174" s="29"/>
      <c r="G174" s="771"/>
      <c r="H174" s="772"/>
      <c r="I174" s="772"/>
      <c r="J174" s="773"/>
      <c r="K174" s="1">
        <f t="shared" si="6"/>
        <v>6</v>
      </c>
      <c r="L174" s="1" t="str">
        <f t="shared" si="7"/>
        <v>Yes</v>
      </c>
    </row>
    <row r="175" spans="1:12" ht="15" customHeight="1" x14ac:dyDescent="0.2">
      <c r="A175" s="785" t="s">
        <v>96</v>
      </c>
      <c r="B175" s="786"/>
      <c r="C175" s="786"/>
      <c r="D175" s="786"/>
      <c r="E175" s="787"/>
      <c r="F175" s="788">
        <f>SUM(F150:F174)</f>
        <v>0</v>
      </c>
      <c r="G175" s="789"/>
      <c r="H175" s="789"/>
      <c r="I175" s="789"/>
      <c r="J175" s="790"/>
      <c r="L175" s="1">
        <f>COUNTIF(L150:L174,"Yes")</f>
        <v>25</v>
      </c>
    </row>
    <row r="176" spans="1:12" ht="15" customHeight="1" x14ac:dyDescent="0.2">
      <c r="A176" s="810"/>
      <c r="B176" s="811"/>
      <c r="C176" s="811"/>
      <c r="D176" s="811"/>
      <c r="E176" s="811"/>
      <c r="F176" s="811"/>
      <c r="G176" s="811"/>
      <c r="H176" s="811"/>
      <c r="I176" s="811"/>
      <c r="J176" s="812"/>
    </row>
    <row r="177" spans="1:12" ht="18" customHeight="1" x14ac:dyDescent="0.2">
      <c r="A177" s="782" t="s">
        <v>97</v>
      </c>
      <c r="B177" s="783"/>
      <c r="C177" s="783"/>
      <c r="D177" s="783"/>
      <c r="E177" s="783"/>
      <c r="F177" s="783"/>
      <c r="G177" s="783"/>
      <c r="H177" s="783"/>
      <c r="I177" s="783"/>
      <c r="J177" s="784"/>
    </row>
    <row r="178" spans="1:12" ht="18" customHeight="1" x14ac:dyDescent="0.2">
      <c r="A178" s="782" t="s">
        <v>481</v>
      </c>
      <c r="B178" s="783"/>
      <c r="C178" s="783"/>
      <c r="D178" s="783"/>
      <c r="E178" s="783"/>
      <c r="F178" s="783"/>
      <c r="G178" s="783"/>
      <c r="H178" s="783"/>
      <c r="I178" s="783"/>
      <c r="J178" s="784"/>
    </row>
    <row r="179" spans="1:12" ht="15" customHeight="1" x14ac:dyDescent="0.2">
      <c r="A179" s="791" t="s">
        <v>49</v>
      </c>
      <c r="B179" s="792"/>
      <c r="C179" s="792"/>
      <c r="D179" s="793"/>
      <c r="E179" s="800" t="s">
        <v>43</v>
      </c>
      <c r="F179" s="803" t="s">
        <v>104</v>
      </c>
      <c r="G179" s="804" t="s">
        <v>53</v>
      </c>
      <c r="H179" s="792"/>
      <c r="I179" s="792"/>
      <c r="J179" s="805"/>
    </row>
    <row r="180" spans="1:12" ht="15" customHeight="1" x14ac:dyDescent="0.2">
      <c r="A180" s="794"/>
      <c r="B180" s="795"/>
      <c r="C180" s="795"/>
      <c r="D180" s="796"/>
      <c r="E180" s="801"/>
      <c r="F180" s="801"/>
      <c r="G180" s="806"/>
      <c r="H180" s="795"/>
      <c r="I180" s="795"/>
      <c r="J180" s="807"/>
    </row>
    <row r="181" spans="1:12" ht="15" customHeight="1" x14ac:dyDescent="0.2">
      <c r="A181" s="794"/>
      <c r="B181" s="795"/>
      <c r="C181" s="795"/>
      <c r="D181" s="796"/>
      <c r="E181" s="801"/>
      <c r="F181" s="801"/>
      <c r="G181" s="806"/>
      <c r="H181" s="795"/>
      <c r="I181" s="795"/>
      <c r="J181" s="807"/>
    </row>
    <row r="182" spans="1:12" ht="15" customHeight="1" x14ac:dyDescent="0.2">
      <c r="A182" s="794"/>
      <c r="B182" s="795"/>
      <c r="C182" s="795"/>
      <c r="D182" s="796"/>
      <c r="E182" s="801"/>
      <c r="F182" s="801"/>
      <c r="G182" s="806"/>
      <c r="H182" s="795"/>
      <c r="I182" s="795"/>
      <c r="J182" s="807"/>
    </row>
    <row r="183" spans="1:12" ht="15" customHeight="1" x14ac:dyDescent="0.2">
      <c r="A183" s="794"/>
      <c r="B183" s="795"/>
      <c r="C183" s="795"/>
      <c r="D183" s="796"/>
      <c r="E183" s="801"/>
      <c r="F183" s="801"/>
      <c r="G183" s="806"/>
      <c r="H183" s="795"/>
      <c r="I183" s="795"/>
      <c r="J183" s="807"/>
    </row>
    <row r="184" spans="1:12" ht="14.25" customHeight="1" x14ac:dyDescent="0.2">
      <c r="A184" s="797"/>
      <c r="B184" s="798"/>
      <c r="C184" s="798"/>
      <c r="D184" s="799"/>
      <c r="E184" s="802"/>
      <c r="F184" s="802"/>
      <c r="G184" s="808"/>
      <c r="H184" s="798"/>
      <c r="I184" s="798"/>
      <c r="J184" s="809"/>
    </row>
    <row r="185" spans="1:12" ht="15" customHeight="1" x14ac:dyDescent="0.2">
      <c r="A185" s="774"/>
      <c r="B185" s="772"/>
      <c r="C185" s="772"/>
      <c r="D185" s="775"/>
      <c r="E185" s="27"/>
      <c r="F185" s="29"/>
      <c r="G185" s="771"/>
      <c r="H185" s="772"/>
      <c r="I185" s="772"/>
      <c r="J185" s="773"/>
      <c r="K185" s="1">
        <f t="shared" ref="K185:K209" si="8">COUNTBLANK(E185:J185)</f>
        <v>6</v>
      </c>
      <c r="L185" s="1" t="str">
        <f t="shared" ref="L185:L209" si="9">IF(AND(A185&lt;&gt;"",K185&gt;3),"No","Yes")</f>
        <v>Yes</v>
      </c>
    </row>
    <row r="186" spans="1:12" ht="15" customHeight="1" x14ac:dyDescent="0.2">
      <c r="A186" s="774"/>
      <c r="B186" s="772"/>
      <c r="C186" s="772"/>
      <c r="D186" s="775"/>
      <c r="E186" s="27"/>
      <c r="F186" s="29"/>
      <c r="G186" s="771"/>
      <c r="H186" s="772"/>
      <c r="I186" s="772"/>
      <c r="J186" s="773"/>
      <c r="K186" s="1">
        <f t="shared" si="8"/>
        <v>6</v>
      </c>
      <c r="L186" s="1" t="str">
        <f t="shared" si="9"/>
        <v>Yes</v>
      </c>
    </row>
    <row r="187" spans="1:12" ht="15" customHeight="1" x14ac:dyDescent="0.2">
      <c r="A187" s="774"/>
      <c r="B187" s="772"/>
      <c r="C187" s="772"/>
      <c r="D187" s="775"/>
      <c r="E187" s="27"/>
      <c r="F187" s="29"/>
      <c r="G187" s="771"/>
      <c r="H187" s="772"/>
      <c r="I187" s="772"/>
      <c r="J187" s="773"/>
      <c r="K187" s="1">
        <f t="shared" si="8"/>
        <v>6</v>
      </c>
      <c r="L187" s="1" t="str">
        <f t="shared" si="9"/>
        <v>Yes</v>
      </c>
    </row>
    <row r="188" spans="1:12" ht="15" customHeight="1" x14ac:dyDescent="0.2">
      <c r="A188" s="774"/>
      <c r="B188" s="772"/>
      <c r="C188" s="772"/>
      <c r="D188" s="775"/>
      <c r="E188" s="27"/>
      <c r="F188" s="29"/>
      <c r="G188" s="771"/>
      <c r="H188" s="772"/>
      <c r="I188" s="772"/>
      <c r="J188" s="773"/>
      <c r="K188" s="1">
        <f t="shared" si="8"/>
        <v>6</v>
      </c>
      <c r="L188" s="1" t="str">
        <f t="shared" si="9"/>
        <v>Yes</v>
      </c>
    </row>
    <row r="189" spans="1:12" ht="15" customHeight="1" x14ac:dyDescent="0.2">
      <c r="A189" s="774"/>
      <c r="B189" s="772"/>
      <c r="C189" s="772"/>
      <c r="D189" s="775"/>
      <c r="E189" s="27"/>
      <c r="F189" s="29"/>
      <c r="G189" s="771"/>
      <c r="H189" s="772"/>
      <c r="I189" s="772"/>
      <c r="J189" s="773"/>
      <c r="K189" s="1">
        <f t="shared" si="8"/>
        <v>6</v>
      </c>
      <c r="L189" s="1" t="str">
        <f t="shared" si="9"/>
        <v>Yes</v>
      </c>
    </row>
    <row r="190" spans="1:12" ht="15" customHeight="1" x14ac:dyDescent="0.2">
      <c r="A190" s="774"/>
      <c r="B190" s="772"/>
      <c r="C190" s="772"/>
      <c r="D190" s="775"/>
      <c r="E190" s="27"/>
      <c r="F190" s="29"/>
      <c r="G190" s="771"/>
      <c r="H190" s="772"/>
      <c r="I190" s="772"/>
      <c r="J190" s="773"/>
      <c r="K190" s="1">
        <f t="shared" si="8"/>
        <v>6</v>
      </c>
      <c r="L190" s="1" t="str">
        <f t="shared" si="9"/>
        <v>Yes</v>
      </c>
    </row>
    <row r="191" spans="1:12" ht="15" customHeight="1" x14ac:dyDescent="0.2">
      <c r="A191" s="774"/>
      <c r="B191" s="772"/>
      <c r="C191" s="772"/>
      <c r="D191" s="775"/>
      <c r="E191" s="27"/>
      <c r="F191" s="29"/>
      <c r="G191" s="771"/>
      <c r="H191" s="772"/>
      <c r="I191" s="772"/>
      <c r="J191" s="773"/>
      <c r="K191" s="1">
        <f t="shared" si="8"/>
        <v>6</v>
      </c>
      <c r="L191" s="1" t="str">
        <f t="shared" si="9"/>
        <v>Yes</v>
      </c>
    </row>
    <row r="192" spans="1:12" ht="15" customHeight="1" x14ac:dyDescent="0.2">
      <c r="A192" s="774"/>
      <c r="B192" s="772"/>
      <c r="C192" s="772"/>
      <c r="D192" s="775"/>
      <c r="E192" s="27"/>
      <c r="F192" s="29"/>
      <c r="G192" s="771"/>
      <c r="H192" s="772"/>
      <c r="I192" s="772"/>
      <c r="J192" s="773"/>
      <c r="K192" s="1">
        <f t="shared" si="8"/>
        <v>6</v>
      </c>
      <c r="L192" s="1" t="str">
        <f t="shared" si="9"/>
        <v>Yes</v>
      </c>
    </row>
    <row r="193" spans="1:12" ht="15" customHeight="1" x14ac:dyDescent="0.2">
      <c r="A193" s="774"/>
      <c r="B193" s="772"/>
      <c r="C193" s="772"/>
      <c r="D193" s="775"/>
      <c r="E193" s="27"/>
      <c r="F193" s="29"/>
      <c r="G193" s="771"/>
      <c r="H193" s="772"/>
      <c r="I193" s="772"/>
      <c r="J193" s="773"/>
      <c r="K193" s="1">
        <f t="shared" si="8"/>
        <v>6</v>
      </c>
      <c r="L193" s="1" t="str">
        <f t="shared" si="9"/>
        <v>Yes</v>
      </c>
    </row>
    <row r="194" spans="1:12" ht="15" customHeight="1" x14ac:dyDescent="0.2">
      <c r="A194" s="774"/>
      <c r="B194" s="772"/>
      <c r="C194" s="772"/>
      <c r="D194" s="775"/>
      <c r="E194" s="27"/>
      <c r="F194" s="29"/>
      <c r="G194" s="771"/>
      <c r="H194" s="772"/>
      <c r="I194" s="772"/>
      <c r="J194" s="773"/>
      <c r="K194" s="1">
        <f t="shared" si="8"/>
        <v>6</v>
      </c>
      <c r="L194" s="1" t="str">
        <f t="shared" si="9"/>
        <v>Yes</v>
      </c>
    </row>
    <row r="195" spans="1:12" ht="15" customHeight="1" x14ac:dyDescent="0.2">
      <c r="A195" s="774"/>
      <c r="B195" s="772"/>
      <c r="C195" s="772"/>
      <c r="D195" s="775"/>
      <c r="E195" s="27"/>
      <c r="F195" s="29"/>
      <c r="G195" s="771"/>
      <c r="H195" s="772"/>
      <c r="I195" s="772"/>
      <c r="J195" s="773"/>
      <c r="K195" s="1">
        <f t="shared" si="8"/>
        <v>6</v>
      </c>
      <c r="L195" s="1" t="str">
        <f t="shared" si="9"/>
        <v>Yes</v>
      </c>
    </row>
    <row r="196" spans="1:12" ht="15" customHeight="1" x14ac:dyDescent="0.2">
      <c r="A196" s="774"/>
      <c r="B196" s="772"/>
      <c r="C196" s="772"/>
      <c r="D196" s="775"/>
      <c r="E196" s="27"/>
      <c r="F196" s="29"/>
      <c r="G196" s="771"/>
      <c r="H196" s="772"/>
      <c r="I196" s="772"/>
      <c r="J196" s="773"/>
      <c r="K196" s="1">
        <f t="shared" si="8"/>
        <v>6</v>
      </c>
      <c r="L196" s="1" t="str">
        <f t="shared" si="9"/>
        <v>Yes</v>
      </c>
    </row>
    <row r="197" spans="1:12" ht="15" customHeight="1" x14ac:dyDescent="0.2">
      <c r="A197" s="774"/>
      <c r="B197" s="772"/>
      <c r="C197" s="772"/>
      <c r="D197" s="775"/>
      <c r="E197" s="27"/>
      <c r="F197" s="29"/>
      <c r="G197" s="771"/>
      <c r="H197" s="772"/>
      <c r="I197" s="772"/>
      <c r="J197" s="773"/>
      <c r="K197" s="1">
        <f t="shared" si="8"/>
        <v>6</v>
      </c>
      <c r="L197" s="1" t="str">
        <f t="shared" si="9"/>
        <v>Yes</v>
      </c>
    </row>
    <row r="198" spans="1:12" ht="15" customHeight="1" x14ac:dyDescent="0.2">
      <c r="A198" s="774"/>
      <c r="B198" s="772"/>
      <c r="C198" s="772"/>
      <c r="D198" s="775"/>
      <c r="E198" s="27"/>
      <c r="F198" s="29"/>
      <c r="G198" s="771"/>
      <c r="H198" s="772"/>
      <c r="I198" s="772"/>
      <c r="J198" s="773"/>
      <c r="K198" s="1">
        <f t="shared" si="8"/>
        <v>6</v>
      </c>
      <c r="L198" s="1" t="str">
        <f t="shared" si="9"/>
        <v>Yes</v>
      </c>
    </row>
    <row r="199" spans="1:12" ht="15" customHeight="1" x14ac:dyDescent="0.2">
      <c r="A199" s="774"/>
      <c r="B199" s="772"/>
      <c r="C199" s="772"/>
      <c r="D199" s="775"/>
      <c r="E199" s="27"/>
      <c r="F199" s="29"/>
      <c r="G199" s="771"/>
      <c r="H199" s="772"/>
      <c r="I199" s="772"/>
      <c r="J199" s="773"/>
      <c r="K199" s="1">
        <f t="shared" si="8"/>
        <v>6</v>
      </c>
      <c r="L199" s="1" t="str">
        <f t="shared" si="9"/>
        <v>Yes</v>
      </c>
    </row>
    <row r="200" spans="1:12" ht="15" customHeight="1" x14ac:dyDescent="0.2">
      <c r="A200" s="774"/>
      <c r="B200" s="772"/>
      <c r="C200" s="772"/>
      <c r="D200" s="775"/>
      <c r="E200" s="27"/>
      <c r="F200" s="29"/>
      <c r="G200" s="771"/>
      <c r="H200" s="772"/>
      <c r="I200" s="772"/>
      <c r="J200" s="773"/>
      <c r="K200" s="1">
        <f t="shared" si="8"/>
        <v>6</v>
      </c>
      <c r="L200" s="1" t="str">
        <f t="shared" si="9"/>
        <v>Yes</v>
      </c>
    </row>
    <row r="201" spans="1:12" ht="15" customHeight="1" x14ac:dyDescent="0.2">
      <c r="A201" s="774"/>
      <c r="B201" s="772"/>
      <c r="C201" s="772"/>
      <c r="D201" s="775"/>
      <c r="E201" s="27"/>
      <c r="F201" s="29"/>
      <c r="G201" s="771"/>
      <c r="H201" s="772"/>
      <c r="I201" s="772"/>
      <c r="J201" s="773"/>
      <c r="K201" s="1">
        <f t="shared" si="8"/>
        <v>6</v>
      </c>
      <c r="L201" s="1" t="str">
        <f t="shared" si="9"/>
        <v>Yes</v>
      </c>
    </row>
    <row r="202" spans="1:12" ht="15" customHeight="1" x14ac:dyDescent="0.2">
      <c r="A202" s="774"/>
      <c r="B202" s="772"/>
      <c r="C202" s="772"/>
      <c r="D202" s="775"/>
      <c r="E202" s="27"/>
      <c r="F202" s="29"/>
      <c r="G202" s="771"/>
      <c r="H202" s="772"/>
      <c r="I202" s="772"/>
      <c r="J202" s="773"/>
      <c r="K202" s="1">
        <f t="shared" si="8"/>
        <v>6</v>
      </c>
      <c r="L202" s="1" t="str">
        <f t="shared" si="9"/>
        <v>Yes</v>
      </c>
    </row>
    <row r="203" spans="1:12" ht="15" customHeight="1" x14ac:dyDescent="0.2">
      <c r="A203" s="774"/>
      <c r="B203" s="772"/>
      <c r="C203" s="772"/>
      <c r="D203" s="775"/>
      <c r="E203" s="27"/>
      <c r="F203" s="29"/>
      <c r="G203" s="771"/>
      <c r="H203" s="772"/>
      <c r="I203" s="772"/>
      <c r="J203" s="773"/>
      <c r="K203" s="1">
        <f t="shared" si="8"/>
        <v>6</v>
      </c>
      <c r="L203" s="1" t="str">
        <f t="shared" si="9"/>
        <v>Yes</v>
      </c>
    </row>
    <row r="204" spans="1:12" ht="15" customHeight="1" x14ac:dyDescent="0.2">
      <c r="A204" s="774"/>
      <c r="B204" s="772"/>
      <c r="C204" s="772"/>
      <c r="D204" s="775"/>
      <c r="E204" s="27"/>
      <c r="F204" s="29"/>
      <c r="G204" s="771"/>
      <c r="H204" s="772"/>
      <c r="I204" s="772"/>
      <c r="J204" s="773"/>
      <c r="K204" s="1">
        <f t="shared" si="8"/>
        <v>6</v>
      </c>
      <c r="L204" s="1" t="str">
        <f t="shared" si="9"/>
        <v>Yes</v>
      </c>
    </row>
    <row r="205" spans="1:12" ht="15" customHeight="1" x14ac:dyDescent="0.2">
      <c r="A205" s="774"/>
      <c r="B205" s="772"/>
      <c r="C205" s="772"/>
      <c r="D205" s="775"/>
      <c r="E205" s="27"/>
      <c r="F205" s="29"/>
      <c r="G205" s="771"/>
      <c r="H205" s="772"/>
      <c r="I205" s="772"/>
      <c r="J205" s="773"/>
      <c r="K205" s="1">
        <f t="shared" si="8"/>
        <v>6</v>
      </c>
      <c r="L205" s="1" t="str">
        <f t="shared" si="9"/>
        <v>Yes</v>
      </c>
    </row>
    <row r="206" spans="1:12" ht="15" customHeight="1" x14ac:dyDescent="0.2">
      <c r="A206" s="774"/>
      <c r="B206" s="772"/>
      <c r="C206" s="772"/>
      <c r="D206" s="775"/>
      <c r="E206" s="27"/>
      <c r="F206" s="29"/>
      <c r="G206" s="771"/>
      <c r="H206" s="772"/>
      <c r="I206" s="772"/>
      <c r="J206" s="773"/>
      <c r="K206" s="1">
        <f t="shared" si="8"/>
        <v>6</v>
      </c>
      <c r="L206" s="1" t="str">
        <f t="shared" si="9"/>
        <v>Yes</v>
      </c>
    </row>
    <row r="207" spans="1:12" ht="15" customHeight="1" x14ac:dyDescent="0.2">
      <c r="A207" s="774"/>
      <c r="B207" s="772"/>
      <c r="C207" s="772"/>
      <c r="D207" s="775"/>
      <c r="E207" s="27"/>
      <c r="F207" s="29"/>
      <c r="G207" s="771"/>
      <c r="H207" s="772"/>
      <c r="I207" s="772"/>
      <c r="J207" s="773"/>
      <c r="K207" s="1">
        <f t="shared" si="8"/>
        <v>6</v>
      </c>
      <c r="L207" s="1" t="str">
        <f t="shared" si="9"/>
        <v>Yes</v>
      </c>
    </row>
    <row r="208" spans="1:12" ht="15" customHeight="1" x14ac:dyDescent="0.2">
      <c r="A208" s="774"/>
      <c r="B208" s="772"/>
      <c r="C208" s="772"/>
      <c r="D208" s="775"/>
      <c r="E208" s="27"/>
      <c r="F208" s="29"/>
      <c r="G208" s="771"/>
      <c r="H208" s="772"/>
      <c r="I208" s="772"/>
      <c r="J208" s="773"/>
      <c r="K208" s="1">
        <f t="shared" si="8"/>
        <v>6</v>
      </c>
      <c r="L208" s="1" t="str">
        <f t="shared" si="9"/>
        <v>Yes</v>
      </c>
    </row>
    <row r="209" spans="1:12" ht="15" customHeight="1" x14ac:dyDescent="0.2">
      <c r="A209" s="774"/>
      <c r="B209" s="772"/>
      <c r="C209" s="772"/>
      <c r="D209" s="775"/>
      <c r="E209" s="27"/>
      <c r="F209" s="29"/>
      <c r="G209" s="771"/>
      <c r="H209" s="772"/>
      <c r="I209" s="772"/>
      <c r="J209" s="773"/>
      <c r="K209" s="1">
        <f t="shared" si="8"/>
        <v>6</v>
      </c>
      <c r="L209" s="1" t="str">
        <f t="shared" si="9"/>
        <v>Yes</v>
      </c>
    </row>
    <row r="210" spans="1:12" ht="15" customHeight="1" x14ac:dyDescent="0.2">
      <c r="A210" s="785" t="s">
        <v>98</v>
      </c>
      <c r="B210" s="786"/>
      <c r="C210" s="786"/>
      <c r="D210" s="786"/>
      <c r="E210" s="787"/>
      <c r="F210" s="788">
        <f>SUM(F185:F209)</f>
        <v>0</v>
      </c>
      <c r="G210" s="789"/>
      <c r="H210" s="789"/>
      <c r="I210" s="789"/>
      <c r="J210" s="790"/>
      <c r="L210" s="1">
        <f>COUNTIF(L185:L209,"Yes")</f>
        <v>25</v>
      </c>
    </row>
    <row r="211" spans="1:12" ht="15" customHeight="1" x14ac:dyDescent="0.2">
      <c r="A211" s="810"/>
      <c r="B211" s="811"/>
      <c r="C211" s="811"/>
      <c r="D211" s="811"/>
      <c r="E211" s="811"/>
      <c r="F211" s="811"/>
      <c r="G211" s="811"/>
      <c r="H211" s="811"/>
      <c r="I211" s="811"/>
      <c r="J211" s="812"/>
    </row>
    <row r="212" spans="1:12" ht="34.5" customHeight="1" x14ac:dyDescent="0.2">
      <c r="A212" s="782" t="s">
        <v>46</v>
      </c>
      <c r="B212" s="783"/>
      <c r="C212" s="783"/>
      <c r="D212" s="783"/>
      <c r="E212" s="783"/>
      <c r="F212" s="783"/>
      <c r="G212" s="783"/>
      <c r="H212" s="783"/>
      <c r="I212" s="783"/>
      <c r="J212" s="784"/>
    </row>
    <row r="213" spans="1:12" ht="18" customHeight="1" x14ac:dyDescent="0.2">
      <c r="A213" s="782" t="s">
        <v>481</v>
      </c>
      <c r="B213" s="783"/>
      <c r="C213" s="783"/>
      <c r="D213" s="783"/>
      <c r="E213" s="783"/>
      <c r="F213" s="783"/>
      <c r="G213" s="783"/>
      <c r="H213" s="783"/>
      <c r="I213" s="783"/>
      <c r="J213" s="784"/>
    </row>
    <row r="214" spans="1:12" ht="15" customHeight="1" x14ac:dyDescent="0.2">
      <c r="A214" s="791" t="s">
        <v>49</v>
      </c>
      <c r="B214" s="792"/>
      <c r="C214" s="792"/>
      <c r="D214" s="793"/>
      <c r="E214" s="800" t="s">
        <v>43</v>
      </c>
      <c r="F214" s="803" t="s">
        <v>104</v>
      </c>
      <c r="G214" s="804" t="s">
        <v>53</v>
      </c>
      <c r="H214" s="792"/>
      <c r="I214" s="792"/>
      <c r="J214" s="805"/>
    </row>
    <row r="215" spans="1:12" ht="15" customHeight="1" x14ac:dyDescent="0.2">
      <c r="A215" s="794"/>
      <c r="B215" s="795"/>
      <c r="C215" s="795"/>
      <c r="D215" s="796"/>
      <c r="E215" s="801"/>
      <c r="F215" s="801"/>
      <c r="G215" s="806"/>
      <c r="H215" s="795"/>
      <c r="I215" s="795"/>
      <c r="J215" s="807"/>
    </row>
    <row r="216" spans="1:12" ht="15" customHeight="1" x14ac:dyDescent="0.2">
      <c r="A216" s="794"/>
      <c r="B216" s="795"/>
      <c r="C216" s="795"/>
      <c r="D216" s="796"/>
      <c r="E216" s="801"/>
      <c r="F216" s="801"/>
      <c r="G216" s="806"/>
      <c r="H216" s="795"/>
      <c r="I216" s="795"/>
      <c r="J216" s="807"/>
    </row>
    <row r="217" spans="1:12" ht="15" customHeight="1" x14ac:dyDescent="0.2">
      <c r="A217" s="794"/>
      <c r="B217" s="795"/>
      <c r="C217" s="795"/>
      <c r="D217" s="796"/>
      <c r="E217" s="801"/>
      <c r="F217" s="801"/>
      <c r="G217" s="806"/>
      <c r="H217" s="795"/>
      <c r="I217" s="795"/>
      <c r="J217" s="807"/>
    </row>
    <row r="218" spans="1:12" ht="15" customHeight="1" x14ac:dyDescent="0.2">
      <c r="A218" s="794"/>
      <c r="B218" s="795"/>
      <c r="C218" s="795"/>
      <c r="D218" s="796"/>
      <c r="E218" s="801"/>
      <c r="F218" s="801"/>
      <c r="G218" s="806"/>
      <c r="H218" s="795"/>
      <c r="I218" s="795"/>
      <c r="J218" s="807"/>
    </row>
    <row r="219" spans="1:12" ht="14.25" customHeight="1" x14ac:dyDescent="0.2">
      <c r="A219" s="797"/>
      <c r="B219" s="798"/>
      <c r="C219" s="798"/>
      <c r="D219" s="799"/>
      <c r="E219" s="802"/>
      <c r="F219" s="802"/>
      <c r="G219" s="808"/>
      <c r="H219" s="798"/>
      <c r="I219" s="798"/>
      <c r="J219" s="809"/>
    </row>
    <row r="220" spans="1:12" ht="15" customHeight="1" x14ac:dyDescent="0.2">
      <c r="A220" s="774"/>
      <c r="B220" s="772"/>
      <c r="C220" s="772"/>
      <c r="D220" s="775"/>
      <c r="E220" s="27"/>
      <c r="F220" s="29"/>
      <c r="G220" s="771"/>
      <c r="H220" s="772"/>
      <c r="I220" s="772"/>
      <c r="J220" s="773"/>
      <c r="K220" s="1">
        <f t="shared" ref="K220:K244" si="10">COUNTBLANK(E220:J220)</f>
        <v>6</v>
      </c>
      <c r="L220" s="1" t="str">
        <f t="shared" ref="L220:L244" si="11">IF(AND(A220&lt;&gt;"",K220&gt;3),"No","Yes")</f>
        <v>Yes</v>
      </c>
    </row>
    <row r="221" spans="1:12" ht="15" customHeight="1" x14ac:dyDescent="0.2">
      <c r="A221" s="774"/>
      <c r="B221" s="772"/>
      <c r="C221" s="772"/>
      <c r="D221" s="775"/>
      <c r="E221" s="27"/>
      <c r="F221" s="29"/>
      <c r="G221" s="771"/>
      <c r="H221" s="772"/>
      <c r="I221" s="772"/>
      <c r="J221" s="773"/>
      <c r="K221" s="1">
        <f t="shared" si="10"/>
        <v>6</v>
      </c>
      <c r="L221" s="1" t="str">
        <f t="shared" si="11"/>
        <v>Yes</v>
      </c>
    </row>
    <row r="222" spans="1:12" ht="15" customHeight="1" x14ac:dyDescent="0.2">
      <c r="A222" s="774"/>
      <c r="B222" s="772"/>
      <c r="C222" s="772"/>
      <c r="D222" s="775"/>
      <c r="E222" s="27"/>
      <c r="F222" s="29"/>
      <c r="G222" s="771"/>
      <c r="H222" s="772"/>
      <c r="I222" s="772"/>
      <c r="J222" s="773"/>
      <c r="K222" s="1">
        <f t="shared" si="10"/>
        <v>6</v>
      </c>
      <c r="L222" s="1" t="str">
        <f t="shared" si="11"/>
        <v>Yes</v>
      </c>
    </row>
    <row r="223" spans="1:12" ht="15" customHeight="1" x14ac:dyDescent="0.2">
      <c r="A223" s="774"/>
      <c r="B223" s="772"/>
      <c r="C223" s="772"/>
      <c r="D223" s="775"/>
      <c r="E223" s="27"/>
      <c r="F223" s="29"/>
      <c r="G223" s="771"/>
      <c r="H223" s="772"/>
      <c r="I223" s="772"/>
      <c r="J223" s="773"/>
      <c r="K223" s="1">
        <f t="shared" si="10"/>
        <v>6</v>
      </c>
      <c r="L223" s="1" t="str">
        <f t="shared" si="11"/>
        <v>Yes</v>
      </c>
    </row>
    <row r="224" spans="1:12" ht="15" customHeight="1" x14ac:dyDescent="0.2">
      <c r="A224" s="774"/>
      <c r="B224" s="772"/>
      <c r="C224" s="772"/>
      <c r="D224" s="775"/>
      <c r="E224" s="27"/>
      <c r="F224" s="29"/>
      <c r="G224" s="771"/>
      <c r="H224" s="772"/>
      <c r="I224" s="772"/>
      <c r="J224" s="773"/>
      <c r="K224" s="1">
        <f t="shared" si="10"/>
        <v>6</v>
      </c>
      <c r="L224" s="1" t="str">
        <f t="shared" si="11"/>
        <v>Yes</v>
      </c>
    </row>
    <row r="225" spans="1:12" ht="15" customHeight="1" x14ac:dyDescent="0.2">
      <c r="A225" s="774"/>
      <c r="B225" s="772"/>
      <c r="C225" s="772"/>
      <c r="D225" s="775"/>
      <c r="E225" s="27"/>
      <c r="F225" s="29"/>
      <c r="G225" s="771"/>
      <c r="H225" s="772"/>
      <c r="I225" s="772"/>
      <c r="J225" s="773"/>
      <c r="K225" s="1">
        <f t="shared" si="10"/>
        <v>6</v>
      </c>
      <c r="L225" s="1" t="str">
        <f t="shared" si="11"/>
        <v>Yes</v>
      </c>
    </row>
    <row r="226" spans="1:12" ht="15" customHeight="1" x14ac:dyDescent="0.2">
      <c r="A226" s="774"/>
      <c r="B226" s="772"/>
      <c r="C226" s="772"/>
      <c r="D226" s="775"/>
      <c r="E226" s="27"/>
      <c r="F226" s="29"/>
      <c r="G226" s="771"/>
      <c r="H226" s="772"/>
      <c r="I226" s="772"/>
      <c r="J226" s="773"/>
      <c r="K226" s="1">
        <f t="shared" si="10"/>
        <v>6</v>
      </c>
      <c r="L226" s="1" t="str">
        <f t="shared" si="11"/>
        <v>Yes</v>
      </c>
    </row>
    <row r="227" spans="1:12" ht="15" customHeight="1" x14ac:dyDescent="0.2">
      <c r="A227" s="774"/>
      <c r="B227" s="772"/>
      <c r="C227" s="772"/>
      <c r="D227" s="775"/>
      <c r="E227" s="27"/>
      <c r="F227" s="29"/>
      <c r="G227" s="771"/>
      <c r="H227" s="772"/>
      <c r="I227" s="772"/>
      <c r="J227" s="773"/>
      <c r="K227" s="1">
        <f t="shared" si="10"/>
        <v>6</v>
      </c>
      <c r="L227" s="1" t="str">
        <f t="shared" si="11"/>
        <v>Yes</v>
      </c>
    </row>
    <row r="228" spans="1:12" ht="15" customHeight="1" x14ac:dyDescent="0.2">
      <c r="A228" s="774"/>
      <c r="B228" s="772"/>
      <c r="C228" s="772"/>
      <c r="D228" s="775"/>
      <c r="E228" s="27"/>
      <c r="F228" s="29"/>
      <c r="G228" s="771"/>
      <c r="H228" s="772"/>
      <c r="I228" s="772"/>
      <c r="J228" s="773"/>
      <c r="K228" s="1">
        <f t="shared" si="10"/>
        <v>6</v>
      </c>
      <c r="L228" s="1" t="str">
        <f t="shared" si="11"/>
        <v>Yes</v>
      </c>
    </row>
    <row r="229" spans="1:12" ht="15" customHeight="1" x14ac:dyDescent="0.2">
      <c r="A229" s="774"/>
      <c r="B229" s="772"/>
      <c r="C229" s="772"/>
      <c r="D229" s="775"/>
      <c r="E229" s="27"/>
      <c r="F229" s="29"/>
      <c r="G229" s="771"/>
      <c r="H229" s="772"/>
      <c r="I229" s="772"/>
      <c r="J229" s="773"/>
      <c r="K229" s="1">
        <f t="shared" si="10"/>
        <v>6</v>
      </c>
      <c r="L229" s="1" t="str">
        <f t="shared" si="11"/>
        <v>Yes</v>
      </c>
    </row>
    <row r="230" spans="1:12" ht="15" customHeight="1" x14ac:dyDescent="0.2">
      <c r="A230" s="774"/>
      <c r="B230" s="772"/>
      <c r="C230" s="772"/>
      <c r="D230" s="775"/>
      <c r="E230" s="27"/>
      <c r="F230" s="29"/>
      <c r="G230" s="771"/>
      <c r="H230" s="772"/>
      <c r="I230" s="772"/>
      <c r="J230" s="773"/>
      <c r="K230" s="1">
        <f t="shared" si="10"/>
        <v>6</v>
      </c>
      <c r="L230" s="1" t="str">
        <f t="shared" si="11"/>
        <v>Yes</v>
      </c>
    </row>
    <row r="231" spans="1:12" ht="15" customHeight="1" x14ac:dyDescent="0.2">
      <c r="A231" s="774"/>
      <c r="B231" s="772"/>
      <c r="C231" s="772"/>
      <c r="D231" s="775"/>
      <c r="E231" s="27"/>
      <c r="F231" s="29"/>
      <c r="G231" s="771"/>
      <c r="H231" s="772"/>
      <c r="I231" s="772"/>
      <c r="J231" s="773"/>
      <c r="K231" s="1">
        <f t="shared" si="10"/>
        <v>6</v>
      </c>
      <c r="L231" s="1" t="str">
        <f t="shared" si="11"/>
        <v>Yes</v>
      </c>
    </row>
    <row r="232" spans="1:12" ht="15" customHeight="1" x14ac:dyDescent="0.2">
      <c r="A232" s="774"/>
      <c r="B232" s="772"/>
      <c r="C232" s="772"/>
      <c r="D232" s="775"/>
      <c r="E232" s="27"/>
      <c r="F232" s="29"/>
      <c r="G232" s="771"/>
      <c r="H232" s="772"/>
      <c r="I232" s="772"/>
      <c r="J232" s="773"/>
      <c r="K232" s="1">
        <f t="shared" si="10"/>
        <v>6</v>
      </c>
      <c r="L232" s="1" t="str">
        <f t="shared" si="11"/>
        <v>Yes</v>
      </c>
    </row>
    <row r="233" spans="1:12" ht="15" customHeight="1" x14ac:dyDescent="0.2">
      <c r="A233" s="774"/>
      <c r="B233" s="772"/>
      <c r="C233" s="772"/>
      <c r="D233" s="775"/>
      <c r="E233" s="27"/>
      <c r="F233" s="29"/>
      <c r="G233" s="771"/>
      <c r="H233" s="772"/>
      <c r="I233" s="772"/>
      <c r="J233" s="773"/>
      <c r="K233" s="1">
        <f t="shared" si="10"/>
        <v>6</v>
      </c>
      <c r="L233" s="1" t="str">
        <f t="shared" si="11"/>
        <v>Yes</v>
      </c>
    </row>
    <row r="234" spans="1:12" ht="15" customHeight="1" x14ac:dyDescent="0.2">
      <c r="A234" s="774"/>
      <c r="B234" s="772"/>
      <c r="C234" s="772"/>
      <c r="D234" s="775"/>
      <c r="E234" s="27"/>
      <c r="F234" s="29"/>
      <c r="G234" s="771"/>
      <c r="H234" s="772"/>
      <c r="I234" s="772"/>
      <c r="J234" s="773"/>
      <c r="K234" s="1">
        <f t="shared" si="10"/>
        <v>6</v>
      </c>
      <c r="L234" s="1" t="str">
        <f t="shared" si="11"/>
        <v>Yes</v>
      </c>
    </row>
    <row r="235" spans="1:12" ht="15" customHeight="1" x14ac:dyDescent="0.2">
      <c r="A235" s="774"/>
      <c r="B235" s="772"/>
      <c r="C235" s="772"/>
      <c r="D235" s="775"/>
      <c r="E235" s="27"/>
      <c r="F235" s="29"/>
      <c r="G235" s="771"/>
      <c r="H235" s="772"/>
      <c r="I235" s="772"/>
      <c r="J235" s="773"/>
      <c r="K235" s="1">
        <f t="shared" si="10"/>
        <v>6</v>
      </c>
      <c r="L235" s="1" t="str">
        <f t="shared" si="11"/>
        <v>Yes</v>
      </c>
    </row>
    <row r="236" spans="1:12" ht="15" customHeight="1" x14ac:dyDescent="0.2">
      <c r="A236" s="774"/>
      <c r="B236" s="772"/>
      <c r="C236" s="772"/>
      <c r="D236" s="775"/>
      <c r="E236" s="27"/>
      <c r="F236" s="29"/>
      <c r="G236" s="771"/>
      <c r="H236" s="772"/>
      <c r="I236" s="772"/>
      <c r="J236" s="773"/>
      <c r="K236" s="1">
        <f t="shared" si="10"/>
        <v>6</v>
      </c>
      <c r="L236" s="1" t="str">
        <f t="shared" si="11"/>
        <v>Yes</v>
      </c>
    </row>
    <row r="237" spans="1:12" ht="15" customHeight="1" x14ac:dyDescent="0.2">
      <c r="A237" s="774"/>
      <c r="B237" s="772"/>
      <c r="C237" s="772"/>
      <c r="D237" s="775"/>
      <c r="E237" s="27"/>
      <c r="F237" s="29"/>
      <c r="G237" s="771"/>
      <c r="H237" s="772"/>
      <c r="I237" s="772"/>
      <c r="J237" s="773"/>
      <c r="K237" s="1">
        <f t="shared" si="10"/>
        <v>6</v>
      </c>
      <c r="L237" s="1" t="str">
        <f t="shared" si="11"/>
        <v>Yes</v>
      </c>
    </row>
    <row r="238" spans="1:12" ht="15" customHeight="1" x14ac:dyDescent="0.2">
      <c r="A238" s="774"/>
      <c r="B238" s="772"/>
      <c r="C238" s="772"/>
      <c r="D238" s="775"/>
      <c r="E238" s="27"/>
      <c r="F238" s="29"/>
      <c r="G238" s="771"/>
      <c r="H238" s="772"/>
      <c r="I238" s="772"/>
      <c r="J238" s="773"/>
      <c r="K238" s="1">
        <f t="shared" si="10"/>
        <v>6</v>
      </c>
      <c r="L238" s="1" t="str">
        <f t="shared" si="11"/>
        <v>Yes</v>
      </c>
    </row>
    <row r="239" spans="1:12" ht="15" customHeight="1" x14ac:dyDescent="0.2">
      <c r="A239" s="774"/>
      <c r="B239" s="772"/>
      <c r="C239" s="772"/>
      <c r="D239" s="775"/>
      <c r="E239" s="27"/>
      <c r="F239" s="29"/>
      <c r="G239" s="771"/>
      <c r="H239" s="772"/>
      <c r="I239" s="772"/>
      <c r="J239" s="773"/>
      <c r="K239" s="1">
        <f t="shared" si="10"/>
        <v>6</v>
      </c>
      <c r="L239" s="1" t="str">
        <f t="shared" si="11"/>
        <v>Yes</v>
      </c>
    </row>
    <row r="240" spans="1:12" ht="15" customHeight="1" x14ac:dyDescent="0.2">
      <c r="A240" s="774"/>
      <c r="B240" s="772"/>
      <c r="C240" s="772"/>
      <c r="D240" s="775"/>
      <c r="E240" s="27"/>
      <c r="F240" s="29"/>
      <c r="G240" s="771"/>
      <c r="H240" s="772"/>
      <c r="I240" s="772"/>
      <c r="J240" s="773"/>
      <c r="K240" s="1">
        <f t="shared" si="10"/>
        <v>6</v>
      </c>
      <c r="L240" s="1" t="str">
        <f t="shared" si="11"/>
        <v>Yes</v>
      </c>
    </row>
    <row r="241" spans="1:12" ht="15" customHeight="1" x14ac:dyDescent="0.2">
      <c r="A241" s="774"/>
      <c r="B241" s="772"/>
      <c r="C241" s="772"/>
      <c r="D241" s="775"/>
      <c r="E241" s="27"/>
      <c r="F241" s="29"/>
      <c r="G241" s="771"/>
      <c r="H241" s="772"/>
      <c r="I241" s="772"/>
      <c r="J241" s="773"/>
      <c r="K241" s="1">
        <f t="shared" si="10"/>
        <v>6</v>
      </c>
      <c r="L241" s="1" t="str">
        <f t="shared" si="11"/>
        <v>Yes</v>
      </c>
    </row>
    <row r="242" spans="1:12" ht="15" customHeight="1" x14ac:dyDescent="0.2">
      <c r="A242" s="774"/>
      <c r="B242" s="772"/>
      <c r="C242" s="772"/>
      <c r="D242" s="775"/>
      <c r="E242" s="27"/>
      <c r="F242" s="29"/>
      <c r="G242" s="771"/>
      <c r="H242" s="772"/>
      <c r="I242" s="772"/>
      <c r="J242" s="773"/>
      <c r="K242" s="1">
        <f t="shared" si="10"/>
        <v>6</v>
      </c>
      <c r="L242" s="1" t="str">
        <f t="shared" si="11"/>
        <v>Yes</v>
      </c>
    </row>
    <row r="243" spans="1:12" ht="15" customHeight="1" x14ac:dyDescent="0.2">
      <c r="A243" s="774"/>
      <c r="B243" s="772"/>
      <c r="C243" s="772"/>
      <c r="D243" s="775"/>
      <c r="E243" s="27"/>
      <c r="F243" s="29"/>
      <c r="G243" s="771"/>
      <c r="H243" s="772"/>
      <c r="I243" s="772"/>
      <c r="J243" s="773"/>
      <c r="K243" s="1">
        <f t="shared" si="10"/>
        <v>6</v>
      </c>
      <c r="L243" s="1" t="str">
        <f t="shared" si="11"/>
        <v>Yes</v>
      </c>
    </row>
    <row r="244" spans="1:12" ht="15" customHeight="1" x14ac:dyDescent="0.2">
      <c r="A244" s="774"/>
      <c r="B244" s="772"/>
      <c r="C244" s="772"/>
      <c r="D244" s="775"/>
      <c r="E244" s="27"/>
      <c r="F244" s="29"/>
      <c r="G244" s="771"/>
      <c r="H244" s="772"/>
      <c r="I244" s="772"/>
      <c r="J244" s="773"/>
      <c r="K244" s="1">
        <f t="shared" si="10"/>
        <v>6</v>
      </c>
      <c r="L244" s="1" t="str">
        <f t="shared" si="11"/>
        <v>Yes</v>
      </c>
    </row>
    <row r="245" spans="1:12" ht="15" customHeight="1" x14ac:dyDescent="0.2">
      <c r="A245" s="785" t="s">
        <v>99</v>
      </c>
      <c r="B245" s="786"/>
      <c r="C245" s="786"/>
      <c r="D245" s="786"/>
      <c r="E245" s="787"/>
      <c r="F245" s="788">
        <f>SUM(F220:F244)</f>
        <v>0</v>
      </c>
      <c r="G245" s="789"/>
      <c r="H245" s="789"/>
      <c r="I245" s="789"/>
      <c r="J245" s="790"/>
      <c r="L245" s="1">
        <f>COUNTIF(L220:L244,"Yes")</f>
        <v>25</v>
      </c>
    </row>
    <row r="246" spans="1:12" ht="15" customHeight="1" x14ac:dyDescent="0.2">
      <c r="A246" s="810"/>
      <c r="B246" s="811"/>
      <c r="C246" s="811"/>
      <c r="D246" s="811"/>
      <c r="E246" s="811"/>
      <c r="F246" s="811"/>
      <c r="G246" s="811"/>
      <c r="H246" s="811"/>
      <c r="I246" s="811"/>
      <c r="J246" s="812"/>
    </row>
    <row r="247" spans="1:12" ht="18" customHeight="1" x14ac:dyDescent="0.2">
      <c r="A247" s="782" t="s">
        <v>47</v>
      </c>
      <c r="B247" s="783"/>
      <c r="C247" s="783"/>
      <c r="D247" s="783"/>
      <c r="E247" s="783"/>
      <c r="F247" s="783"/>
      <c r="G247" s="783"/>
      <c r="H247" s="783"/>
      <c r="I247" s="783"/>
      <c r="J247" s="784"/>
    </row>
    <row r="248" spans="1:12" ht="18" customHeight="1" x14ac:dyDescent="0.2">
      <c r="A248" s="782" t="s">
        <v>481</v>
      </c>
      <c r="B248" s="783"/>
      <c r="C248" s="783"/>
      <c r="D248" s="783"/>
      <c r="E248" s="783"/>
      <c r="F248" s="783"/>
      <c r="G248" s="783"/>
      <c r="H248" s="783"/>
      <c r="I248" s="783"/>
      <c r="J248" s="784"/>
    </row>
    <row r="249" spans="1:12" ht="15" customHeight="1" x14ac:dyDescent="0.2">
      <c r="A249" s="791" t="s">
        <v>49</v>
      </c>
      <c r="B249" s="792"/>
      <c r="C249" s="792"/>
      <c r="D249" s="793"/>
      <c r="E249" s="800" t="s">
        <v>43</v>
      </c>
      <c r="F249" s="803" t="s">
        <v>104</v>
      </c>
      <c r="G249" s="804" t="s">
        <v>53</v>
      </c>
      <c r="H249" s="792"/>
      <c r="I249" s="792"/>
      <c r="J249" s="805"/>
    </row>
    <row r="250" spans="1:12" ht="15" customHeight="1" x14ac:dyDescent="0.2">
      <c r="A250" s="794"/>
      <c r="B250" s="795"/>
      <c r="C250" s="795"/>
      <c r="D250" s="796"/>
      <c r="E250" s="801"/>
      <c r="F250" s="801"/>
      <c r="G250" s="806"/>
      <c r="H250" s="795"/>
      <c r="I250" s="795"/>
      <c r="J250" s="807"/>
    </row>
    <row r="251" spans="1:12" ht="15" customHeight="1" x14ac:dyDescent="0.2">
      <c r="A251" s="794"/>
      <c r="B251" s="795"/>
      <c r="C251" s="795"/>
      <c r="D251" s="796"/>
      <c r="E251" s="801"/>
      <c r="F251" s="801"/>
      <c r="G251" s="806"/>
      <c r="H251" s="795"/>
      <c r="I251" s="795"/>
      <c r="J251" s="807"/>
    </row>
    <row r="252" spans="1:12" ht="15" customHeight="1" x14ac:dyDescent="0.2">
      <c r="A252" s="794"/>
      <c r="B252" s="795"/>
      <c r="C252" s="795"/>
      <c r="D252" s="796"/>
      <c r="E252" s="801"/>
      <c r="F252" s="801"/>
      <c r="G252" s="806"/>
      <c r="H252" s="795"/>
      <c r="I252" s="795"/>
      <c r="J252" s="807"/>
    </row>
    <row r="253" spans="1:12" ht="15" customHeight="1" x14ac:dyDescent="0.2">
      <c r="A253" s="794"/>
      <c r="B253" s="795"/>
      <c r="C253" s="795"/>
      <c r="D253" s="796"/>
      <c r="E253" s="801"/>
      <c r="F253" s="801"/>
      <c r="G253" s="806"/>
      <c r="H253" s="795"/>
      <c r="I253" s="795"/>
      <c r="J253" s="807"/>
    </row>
    <row r="254" spans="1:12" ht="14.25" customHeight="1" x14ac:dyDescent="0.2">
      <c r="A254" s="797"/>
      <c r="B254" s="798"/>
      <c r="C254" s="798"/>
      <c r="D254" s="799"/>
      <c r="E254" s="802"/>
      <c r="F254" s="802"/>
      <c r="G254" s="808"/>
      <c r="H254" s="798"/>
      <c r="I254" s="798"/>
      <c r="J254" s="809"/>
    </row>
    <row r="255" spans="1:12" ht="15" customHeight="1" x14ac:dyDescent="0.2">
      <c r="A255" s="774"/>
      <c r="B255" s="772"/>
      <c r="C255" s="772"/>
      <c r="D255" s="775"/>
      <c r="E255" s="27"/>
      <c r="F255" s="29"/>
      <c r="G255" s="771"/>
      <c r="H255" s="772"/>
      <c r="I255" s="772"/>
      <c r="J255" s="773"/>
      <c r="K255" s="1">
        <f t="shared" ref="K255" si="12">COUNTBLANK(E255:J255)</f>
        <v>6</v>
      </c>
      <c r="L255" s="1" t="str">
        <f t="shared" ref="L255" si="13">IF(AND(A255&lt;&gt;"",K255&gt;3),"No","Yes")</f>
        <v>Yes</v>
      </c>
    </row>
    <row r="256" spans="1:12" ht="15" customHeight="1" x14ac:dyDescent="0.2">
      <c r="A256" s="774"/>
      <c r="B256" s="772"/>
      <c r="C256" s="772"/>
      <c r="D256" s="775"/>
      <c r="E256" s="27"/>
      <c r="F256" s="29"/>
      <c r="G256" s="771"/>
      <c r="H256" s="772"/>
      <c r="I256" s="772"/>
      <c r="J256" s="773"/>
      <c r="K256" s="1">
        <f t="shared" ref="K256:K279" si="14">COUNTBLANK(E256:J256)</f>
        <v>6</v>
      </c>
      <c r="L256" s="1" t="str">
        <f t="shared" ref="L256:L279" si="15">IF(AND(A256&lt;&gt;"",K256&gt;3),"No","Yes")</f>
        <v>Yes</v>
      </c>
    </row>
    <row r="257" spans="1:12" ht="15" customHeight="1" x14ac:dyDescent="0.2">
      <c r="A257" s="774"/>
      <c r="B257" s="772"/>
      <c r="C257" s="772"/>
      <c r="D257" s="775"/>
      <c r="E257" s="27"/>
      <c r="F257" s="29"/>
      <c r="G257" s="771"/>
      <c r="H257" s="772"/>
      <c r="I257" s="772"/>
      <c r="J257" s="773"/>
      <c r="K257" s="1">
        <f t="shared" si="14"/>
        <v>6</v>
      </c>
      <c r="L257" s="1" t="str">
        <f t="shared" si="15"/>
        <v>Yes</v>
      </c>
    </row>
    <row r="258" spans="1:12" ht="15" customHeight="1" x14ac:dyDescent="0.2">
      <c r="A258" s="774"/>
      <c r="B258" s="772"/>
      <c r="C258" s="772"/>
      <c r="D258" s="775"/>
      <c r="E258" s="27"/>
      <c r="F258" s="29"/>
      <c r="G258" s="771"/>
      <c r="H258" s="772"/>
      <c r="I258" s="772"/>
      <c r="J258" s="773"/>
      <c r="K258" s="1">
        <f t="shared" si="14"/>
        <v>6</v>
      </c>
      <c r="L258" s="1" t="str">
        <f t="shared" si="15"/>
        <v>Yes</v>
      </c>
    </row>
    <row r="259" spans="1:12" ht="15" customHeight="1" x14ac:dyDescent="0.2">
      <c r="A259" s="774"/>
      <c r="B259" s="772"/>
      <c r="C259" s="772"/>
      <c r="D259" s="775"/>
      <c r="E259" s="27"/>
      <c r="F259" s="29"/>
      <c r="G259" s="771"/>
      <c r="H259" s="772"/>
      <c r="I259" s="772"/>
      <c r="J259" s="773"/>
      <c r="K259" s="1">
        <f t="shared" si="14"/>
        <v>6</v>
      </c>
      <c r="L259" s="1" t="str">
        <f t="shared" si="15"/>
        <v>Yes</v>
      </c>
    </row>
    <row r="260" spans="1:12" ht="15" customHeight="1" x14ac:dyDescent="0.2">
      <c r="A260" s="774"/>
      <c r="B260" s="772"/>
      <c r="C260" s="772"/>
      <c r="D260" s="775"/>
      <c r="E260" s="27"/>
      <c r="F260" s="29"/>
      <c r="G260" s="771"/>
      <c r="H260" s="772"/>
      <c r="I260" s="772"/>
      <c r="J260" s="773"/>
      <c r="K260" s="1">
        <f t="shared" si="14"/>
        <v>6</v>
      </c>
      <c r="L260" s="1" t="str">
        <f t="shared" si="15"/>
        <v>Yes</v>
      </c>
    </row>
    <row r="261" spans="1:12" ht="15" customHeight="1" x14ac:dyDescent="0.2">
      <c r="A261" s="774"/>
      <c r="B261" s="772"/>
      <c r="C261" s="772"/>
      <c r="D261" s="775"/>
      <c r="E261" s="27"/>
      <c r="F261" s="29"/>
      <c r="G261" s="771"/>
      <c r="H261" s="772"/>
      <c r="I261" s="772"/>
      <c r="J261" s="773"/>
      <c r="K261" s="1">
        <f t="shared" si="14"/>
        <v>6</v>
      </c>
      <c r="L261" s="1" t="str">
        <f t="shared" si="15"/>
        <v>Yes</v>
      </c>
    </row>
    <row r="262" spans="1:12" ht="15" customHeight="1" x14ac:dyDescent="0.2">
      <c r="A262" s="774"/>
      <c r="B262" s="772"/>
      <c r="C262" s="772"/>
      <c r="D262" s="775"/>
      <c r="E262" s="27"/>
      <c r="F262" s="29"/>
      <c r="G262" s="771"/>
      <c r="H262" s="772"/>
      <c r="I262" s="772"/>
      <c r="J262" s="773"/>
      <c r="K262" s="1">
        <f t="shared" si="14"/>
        <v>6</v>
      </c>
      <c r="L262" s="1" t="str">
        <f t="shared" si="15"/>
        <v>Yes</v>
      </c>
    </row>
    <row r="263" spans="1:12" ht="15" customHeight="1" x14ac:dyDescent="0.2">
      <c r="A263" s="774"/>
      <c r="B263" s="772"/>
      <c r="C263" s="772"/>
      <c r="D263" s="775"/>
      <c r="E263" s="27"/>
      <c r="F263" s="29"/>
      <c r="G263" s="771"/>
      <c r="H263" s="772"/>
      <c r="I263" s="772"/>
      <c r="J263" s="773"/>
      <c r="K263" s="1">
        <f t="shared" si="14"/>
        <v>6</v>
      </c>
      <c r="L263" s="1" t="str">
        <f t="shared" si="15"/>
        <v>Yes</v>
      </c>
    </row>
    <row r="264" spans="1:12" ht="15" customHeight="1" x14ac:dyDescent="0.2">
      <c r="A264" s="774"/>
      <c r="B264" s="772"/>
      <c r="C264" s="772"/>
      <c r="D264" s="775"/>
      <c r="E264" s="27"/>
      <c r="F264" s="29"/>
      <c r="G264" s="771"/>
      <c r="H264" s="772"/>
      <c r="I264" s="772"/>
      <c r="J264" s="773"/>
      <c r="K264" s="1">
        <f t="shared" si="14"/>
        <v>6</v>
      </c>
      <c r="L264" s="1" t="str">
        <f t="shared" si="15"/>
        <v>Yes</v>
      </c>
    </row>
    <row r="265" spans="1:12" ht="15" customHeight="1" x14ac:dyDescent="0.2">
      <c r="A265" s="774"/>
      <c r="B265" s="772"/>
      <c r="C265" s="772"/>
      <c r="D265" s="775"/>
      <c r="E265" s="27"/>
      <c r="F265" s="29"/>
      <c r="G265" s="771"/>
      <c r="H265" s="772"/>
      <c r="I265" s="772"/>
      <c r="J265" s="773"/>
      <c r="K265" s="1">
        <f t="shared" si="14"/>
        <v>6</v>
      </c>
      <c r="L265" s="1" t="str">
        <f t="shared" si="15"/>
        <v>Yes</v>
      </c>
    </row>
    <row r="266" spans="1:12" ht="15" customHeight="1" x14ac:dyDescent="0.2">
      <c r="A266" s="774"/>
      <c r="B266" s="772"/>
      <c r="C266" s="772"/>
      <c r="D266" s="775"/>
      <c r="E266" s="27"/>
      <c r="F266" s="29"/>
      <c r="G266" s="771"/>
      <c r="H266" s="772"/>
      <c r="I266" s="772"/>
      <c r="J266" s="773"/>
      <c r="K266" s="1">
        <f t="shared" si="14"/>
        <v>6</v>
      </c>
      <c r="L266" s="1" t="str">
        <f t="shared" si="15"/>
        <v>Yes</v>
      </c>
    </row>
    <row r="267" spans="1:12" ht="15" customHeight="1" x14ac:dyDescent="0.2">
      <c r="A267" s="774"/>
      <c r="B267" s="772"/>
      <c r="C267" s="772"/>
      <c r="D267" s="775"/>
      <c r="E267" s="27"/>
      <c r="F267" s="29"/>
      <c r="G267" s="771"/>
      <c r="H267" s="772"/>
      <c r="I267" s="772"/>
      <c r="J267" s="773"/>
      <c r="K267" s="1">
        <f t="shared" si="14"/>
        <v>6</v>
      </c>
      <c r="L267" s="1" t="str">
        <f t="shared" si="15"/>
        <v>Yes</v>
      </c>
    </row>
    <row r="268" spans="1:12" ht="15" customHeight="1" x14ac:dyDescent="0.2">
      <c r="A268" s="774"/>
      <c r="B268" s="772"/>
      <c r="C268" s="772"/>
      <c r="D268" s="775"/>
      <c r="E268" s="27"/>
      <c r="F268" s="29"/>
      <c r="G268" s="771"/>
      <c r="H268" s="772"/>
      <c r="I268" s="772"/>
      <c r="J268" s="773"/>
      <c r="K268" s="1">
        <f t="shared" si="14"/>
        <v>6</v>
      </c>
      <c r="L268" s="1" t="str">
        <f t="shared" si="15"/>
        <v>Yes</v>
      </c>
    </row>
    <row r="269" spans="1:12" ht="15" customHeight="1" x14ac:dyDescent="0.2">
      <c r="A269" s="774"/>
      <c r="B269" s="772"/>
      <c r="C269" s="772"/>
      <c r="D269" s="775"/>
      <c r="E269" s="27"/>
      <c r="F269" s="29"/>
      <c r="G269" s="771"/>
      <c r="H269" s="772"/>
      <c r="I269" s="772"/>
      <c r="J269" s="773"/>
      <c r="K269" s="1">
        <f t="shared" si="14"/>
        <v>6</v>
      </c>
      <c r="L269" s="1" t="str">
        <f t="shared" si="15"/>
        <v>Yes</v>
      </c>
    </row>
    <row r="270" spans="1:12" ht="15" customHeight="1" x14ac:dyDescent="0.2">
      <c r="A270" s="774"/>
      <c r="B270" s="772"/>
      <c r="C270" s="772"/>
      <c r="D270" s="775"/>
      <c r="E270" s="27"/>
      <c r="F270" s="29"/>
      <c r="G270" s="771"/>
      <c r="H270" s="772"/>
      <c r="I270" s="772"/>
      <c r="J270" s="773"/>
      <c r="K270" s="1">
        <f t="shared" si="14"/>
        <v>6</v>
      </c>
      <c r="L270" s="1" t="str">
        <f t="shared" si="15"/>
        <v>Yes</v>
      </c>
    </row>
    <row r="271" spans="1:12" ht="15" customHeight="1" x14ac:dyDescent="0.2">
      <c r="A271" s="774"/>
      <c r="B271" s="772"/>
      <c r="C271" s="772"/>
      <c r="D271" s="775"/>
      <c r="E271" s="27"/>
      <c r="F271" s="29"/>
      <c r="G271" s="771"/>
      <c r="H271" s="772"/>
      <c r="I271" s="772"/>
      <c r="J271" s="773"/>
      <c r="K271" s="1">
        <f t="shared" si="14"/>
        <v>6</v>
      </c>
      <c r="L271" s="1" t="str">
        <f t="shared" si="15"/>
        <v>Yes</v>
      </c>
    </row>
    <row r="272" spans="1:12" ht="15" customHeight="1" x14ac:dyDescent="0.2">
      <c r="A272" s="774"/>
      <c r="B272" s="772"/>
      <c r="C272" s="772"/>
      <c r="D272" s="775"/>
      <c r="E272" s="27"/>
      <c r="F272" s="29"/>
      <c r="G272" s="771"/>
      <c r="H272" s="772"/>
      <c r="I272" s="772"/>
      <c r="J272" s="773"/>
      <c r="K272" s="1">
        <f t="shared" si="14"/>
        <v>6</v>
      </c>
      <c r="L272" s="1" t="str">
        <f t="shared" si="15"/>
        <v>Yes</v>
      </c>
    </row>
    <row r="273" spans="1:12" ht="15" customHeight="1" x14ac:dyDescent="0.2">
      <c r="A273" s="774"/>
      <c r="B273" s="772"/>
      <c r="C273" s="772"/>
      <c r="D273" s="775"/>
      <c r="E273" s="27"/>
      <c r="F273" s="29"/>
      <c r="G273" s="771"/>
      <c r="H273" s="772"/>
      <c r="I273" s="772"/>
      <c r="J273" s="773"/>
      <c r="K273" s="1">
        <f t="shared" si="14"/>
        <v>6</v>
      </c>
      <c r="L273" s="1" t="str">
        <f t="shared" si="15"/>
        <v>Yes</v>
      </c>
    </row>
    <row r="274" spans="1:12" ht="15" customHeight="1" x14ac:dyDescent="0.2">
      <c r="A274" s="774"/>
      <c r="B274" s="772"/>
      <c r="C274" s="772"/>
      <c r="D274" s="775"/>
      <c r="E274" s="27"/>
      <c r="F274" s="29"/>
      <c r="G274" s="771"/>
      <c r="H274" s="772"/>
      <c r="I274" s="772"/>
      <c r="J274" s="773"/>
      <c r="K274" s="1">
        <f t="shared" si="14"/>
        <v>6</v>
      </c>
      <c r="L274" s="1" t="str">
        <f t="shared" si="15"/>
        <v>Yes</v>
      </c>
    </row>
    <row r="275" spans="1:12" ht="15" customHeight="1" x14ac:dyDescent="0.2">
      <c r="A275" s="774"/>
      <c r="B275" s="772"/>
      <c r="C275" s="772"/>
      <c r="D275" s="775"/>
      <c r="E275" s="27"/>
      <c r="F275" s="29"/>
      <c r="G275" s="771"/>
      <c r="H275" s="772"/>
      <c r="I275" s="772"/>
      <c r="J275" s="773"/>
      <c r="K275" s="1">
        <f t="shared" si="14"/>
        <v>6</v>
      </c>
      <c r="L275" s="1" t="str">
        <f t="shared" si="15"/>
        <v>Yes</v>
      </c>
    </row>
    <row r="276" spans="1:12" ht="15" customHeight="1" x14ac:dyDescent="0.2">
      <c r="A276" s="774"/>
      <c r="B276" s="772"/>
      <c r="C276" s="772"/>
      <c r="D276" s="775"/>
      <c r="E276" s="27"/>
      <c r="F276" s="29"/>
      <c r="G276" s="771"/>
      <c r="H276" s="772"/>
      <c r="I276" s="772"/>
      <c r="J276" s="773"/>
      <c r="K276" s="1">
        <f t="shared" si="14"/>
        <v>6</v>
      </c>
      <c r="L276" s="1" t="str">
        <f t="shared" si="15"/>
        <v>Yes</v>
      </c>
    </row>
    <row r="277" spans="1:12" ht="15" customHeight="1" x14ac:dyDescent="0.2">
      <c r="A277" s="774"/>
      <c r="B277" s="772"/>
      <c r="C277" s="772"/>
      <c r="D277" s="775"/>
      <c r="E277" s="27"/>
      <c r="F277" s="29"/>
      <c r="G277" s="771"/>
      <c r="H277" s="772"/>
      <c r="I277" s="772"/>
      <c r="J277" s="773"/>
      <c r="K277" s="1">
        <f t="shared" si="14"/>
        <v>6</v>
      </c>
      <c r="L277" s="1" t="str">
        <f t="shared" si="15"/>
        <v>Yes</v>
      </c>
    </row>
    <row r="278" spans="1:12" ht="15" customHeight="1" x14ac:dyDescent="0.2">
      <c r="A278" s="774"/>
      <c r="B278" s="772"/>
      <c r="C278" s="772"/>
      <c r="D278" s="775"/>
      <c r="E278" s="27"/>
      <c r="F278" s="29"/>
      <c r="G278" s="771"/>
      <c r="H278" s="772"/>
      <c r="I278" s="772"/>
      <c r="J278" s="773"/>
      <c r="K278" s="1">
        <f t="shared" si="14"/>
        <v>6</v>
      </c>
      <c r="L278" s="1" t="str">
        <f t="shared" si="15"/>
        <v>Yes</v>
      </c>
    </row>
    <row r="279" spans="1:12" ht="15" customHeight="1" x14ac:dyDescent="0.2">
      <c r="A279" s="774"/>
      <c r="B279" s="772"/>
      <c r="C279" s="772"/>
      <c r="D279" s="775"/>
      <c r="E279" s="27"/>
      <c r="F279" s="29"/>
      <c r="G279" s="771"/>
      <c r="H279" s="772"/>
      <c r="I279" s="772"/>
      <c r="J279" s="773"/>
      <c r="K279" s="1">
        <f t="shared" si="14"/>
        <v>6</v>
      </c>
      <c r="L279" s="1" t="str">
        <f t="shared" si="15"/>
        <v>Yes</v>
      </c>
    </row>
    <row r="280" spans="1:12" ht="15" customHeight="1" thickBot="1" x14ac:dyDescent="0.25">
      <c r="A280" s="776" t="s">
        <v>100</v>
      </c>
      <c r="B280" s="777"/>
      <c r="C280" s="777"/>
      <c r="D280" s="777"/>
      <c r="E280" s="778"/>
      <c r="F280" s="779">
        <f>SUM(F255:F279)</f>
        <v>0</v>
      </c>
      <c r="G280" s="780"/>
      <c r="H280" s="780"/>
      <c r="I280" s="780"/>
      <c r="J280" s="781"/>
      <c r="L280" s="1">
        <f>COUNTIF(L255:L279,"Yes")</f>
        <v>25</v>
      </c>
    </row>
    <row r="281" spans="1:12" ht="13.5" thickTop="1" x14ac:dyDescent="0.2">
      <c r="A281" s="832"/>
      <c r="B281" s="832"/>
    </row>
  </sheetData>
  <sheetProtection formatRows="0"/>
  <mergeCells count="495">
    <mergeCell ref="A281:B281"/>
    <mergeCell ref="A120:D120"/>
    <mergeCell ref="A121:D121"/>
    <mergeCell ref="A122:D122"/>
    <mergeCell ref="A126:D126"/>
    <mergeCell ref="A127:D127"/>
    <mergeCell ref="A128:D128"/>
    <mergeCell ref="A125:D125"/>
    <mergeCell ref="A139:D139"/>
    <mergeCell ref="A152:D152"/>
    <mergeCell ref="A167:D167"/>
    <mergeCell ref="A172:D172"/>
    <mergeCell ref="A188:D188"/>
    <mergeCell ref="A194:D194"/>
    <mergeCell ref="A200:D200"/>
    <mergeCell ref="A206:D206"/>
    <mergeCell ref="A220:D220"/>
    <mergeCell ref="A226:D226"/>
    <mergeCell ref="A232:D232"/>
    <mergeCell ref="A238:D238"/>
    <mergeCell ref="A255:D255"/>
    <mergeCell ref="A260:D260"/>
    <mergeCell ref="A266:D266"/>
    <mergeCell ref="A272:D272"/>
    <mergeCell ref="G122:J122"/>
    <mergeCell ref="A130:D130"/>
    <mergeCell ref="G136:J136"/>
    <mergeCell ref="G137:J137"/>
    <mergeCell ref="A137:D137"/>
    <mergeCell ref="G128:J128"/>
    <mergeCell ref="A132:D132"/>
    <mergeCell ref="A133:D133"/>
    <mergeCell ref="G129:J129"/>
    <mergeCell ref="A129:D129"/>
    <mergeCell ref="G133:J133"/>
    <mergeCell ref="G134:J134"/>
    <mergeCell ref="G132:J132"/>
    <mergeCell ref="G139:J139"/>
    <mergeCell ref="G130:J130"/>
    <mergeCell ref="G131:J131"/>
    <mergeCell ref="A134:D134"/>
    <mergeCell ref="F140:J140"/>
    <mergeCell ref="A151:D151"/>
    <mergeCell ref="G151:J151"/>
    <mergeCell ref="A150:D150"/>
    <mergeCell ref="G150:J150"/>
    <mergeCell ref="G160:J160"/>
    <mergeCell ref="A161:D161"/>
    <mergeCell ref="G161:J161"/>
    <mergeCell ref="A135:D135"/>
    <mergeCell ref="G152:J152"/>
    <mergeCell ref="A153:D153"/>
    <mergeCell ref="G153:J153"/>
    <mergeCell ref="A154:D154"/>
    <mergeCell ref="G138:J138"/>
    <mergeCell ref="G156:J156"/>
    <mergeCell ref="A157:D157"/>
    <mergeCell ref="G157:J157"/>
    <mergeCell ref="A156:D156"/>
    <mergeCell ref="A160:D160"/>
    <mergeCell ref="G154:J154"/>
    <mergeCell ref="A155:D155"/>
    <mergeCell ref="G155:J155"/>
    <mergeCell ref="G135:J135"/>
    <mergeCell ref="A141:J141"/>
    <mergeCell ref="A142:J142"/>
    <mergeCell ref="A158:D158"/>
    <mergeCell ref="G158:J158"/>
    <mergeCell ref="A159:D159"/>
    <mergeCell ref="G159:J159"/>
    <mergeCell ref="G116:J116"/>
    <mergeCell ref="E144:E149"/>
    <mergeCell ref="A143:J143"/>
    <mergeCell ref="A144:D149"/>
    <mergeCell ref="F144:F149"/>
    <mergeCell ref="G144:J149"/>
    <mergeCell ref="G125:J125"/>
    <mergeCell ref="G120:J120"/>
    <mergeCell ref="G121:J121"/>
    <mergeCell ref="G123:J123"/>
    <mergeCell ref="G124:J124"/>
    <mergeCell ref="G117:J117"/>
    <mergeCell ref="G118:J118"/>
    <mergeCell ref="G119:J119"/>
    <mergeCell ref="G126:J126"/>
    <mergeCell ref="G127:J127"/>
    <mergeCell ref="A118:D118"/>
    <mergeCell ref="A119:D119"/>
    <mergeCell ref="A123:D123"/>
    <mergeCell ref="A124:D124"/>
    <mergeCell ref="A131:D131"/>
    <mergeCell ref="A140:E140"/>
    <mergeCell ref="A138:D138"/>
    <mergeCell ref="A136:D136"/>
    <mergeCell ref="G109:J114"/>
    <mergeCell ref="G115:J115"/>
    <mergeCell ref="G67:J67"/>
    <mergeCell ref="G74:J74"/>
    <mergeCell ref="G75:J75"/>
    <mergeCell ref="A105:D105"/>
    <mergeCell ref="F105:I105"/>
    <mergeCell ref="A106:J106"/>
    <mergeCell ref="A107:J107"/>
    <mergeCell ref="A108:J108"/>
    <mergeCell ref="F109:F114"/>
    <mergeCell ref="E109:E114"/>
    <mergeCell ref="G76:J76"/>
    <mergeCell ref="G77:J77"/>
    <mergeCell ref="G78:J78"/>
    <mergeCell ref="G79:J79"/>
    <mergeCell ref="G80:J80"/>
    <mergeCell ref="G81:J81"/>
    <mergeCell ref="G82:J82"/>
    <mergeCell ref="G83:J83"/>
    <mergeCell ref="G84:J84"/>
    <mergeCell ref="G85:J85"/>
    <mergeCell ref="G86:J86"/>
    <mergeCell ref="G87:J87"/>
    <mergeCell ref="A1:J2"/>
    <mergeCell ref="A3:J4"/>
    <mergeCell ref="A109:D114"/>
    <mergeCell ref="A115:D115"/>
    <mergeCell ref="A116:D116"/>
    <mergeCell ref="A117:D117"/>
    <mergeCell ref="A5:J6"/>
    <mergeCell ref="A7:B10"/>
    <mergeCell ref="C7:C10"/>
    <mergeCell ref="D7:D10"/>
    <mergeCell ref="E7:E10"/>
    <mergeCell ref="F7:F10"/>
    <mergeCell ref="G7:J10"/>
    <mergeCell ref="G11:J11"/>
    <mergeCell ref="G48:J48"/>
    <mergeCell ref="G27:J27"/>
    <mergeCell ref="G49:J49"/>
    <mergeCell ref="G50:J50"/>
    <mergeCell ref="G51:J51"/>
    <mergeCell ref="G52:J52"/>
    <mergeCell ref="G53:J53"/>
    <mergeCell ref="G54:J54"/>
    <mergeCell ref="G55:J55"/>
    <mergeCell ref="G56:J56"/>
    <mergeCell ref="G167:J167"/>
    <mergeCell ref="A168:D168"/>
    <mergeCell ref="G168:J168"/>
    <mergeCell ref="A162:D162"/>
    <mergeCell ref="G162:J162"/>
    <mergeCell ref="A163:D163"/>
    <mergeCell ref="G163:J163"/>
    <mergeCell ref="G164:J164"/>
    <mergeCell ref="A165:D165"/>
    <mergeCell ref="G165:J165"/>
    <mergeCell ref="A164:D164"/>
    <mergeCell ref="A166:D166"/>
    <mergeCell ref="G166:J166"/>
    <mergeCell ref="G172:J172"/>
    <mergeCell ref="A173:D173"/>
    <mergeCell ref="G173:J173"/>
    <mergeCell ref="A174:D174"/>
    <mergeCell ref="G174:J174"/>
    <mergeCell ref="A169:D169"/>
    <mergeCell ref="G169:J169"/>
    <mergeCell ref="A170:D170"/>
    <mergeCell ref="G170:J170"/>
    <mergeCell ref="A171:D171"/>
    <mergeCell ref="G171:J171"/>
    <mergeCell ref="G188:J188"/>
    <mergeCell ref="A189:D189"/>
    <mergeCell ref="G189:J189"/>
    <mergeCell ref="A190:D190"/>
    <mergeCell ref="G190:J190"/>
    <mergeCell ref="A175:E175"/>
    <mergeCell ref="F175:J175"/>
    <mergeCell ref="G179:J184"/>
    <mergeCell ref="A185:D185"/>
    <mergeCell ref="G185:J185"/>
    <mergeCell ref="A186:D186"/>
    <mergeCell ref="G186:J186"/>
    <mergeCell ref="E179:E184"/>
    <mergeCell ref="F179:F184"/>
    <mergeCell ref="A179:D184"/>
    <mergeCell ref="A176:J176"/>
    <mergeCell ref="A177:J177"/>
    <mergeCell ref="A178:J178"/>
    <mergeCell ref="A187:D187"/>
    <mergeCell ref="G187:J187"/>
    <mergeCell ref="G194:J194"/>
    <mergeCell ref="A195:D195"/>
    <mergeCell ref="G195:J195"/>
    <mergeCell ref="A196:D196"/>
    <mergeCell ref="G196:J196"/>
    <mergeCell ref="A191:D191"/>
    <mergeCell ref="G191:J191"/>
    <mergeCell ref="A192:D192"/>
    <mergeCell ref="G192:J192"/>
    <mergeCell ref="A193:D193"/>
    <mergeCell ref="G193:J193"/>
    <mergeCell ref="G200:J200"/>
    <mergeCell ref="A201:D201"/>
    <mergeCell ref="G201:J201"/>
    <mergeCell ref="A202:D202"/>
    <mergeCell ref="G202:J202"/>
    <mergeCell ref="A197:D197"/>
    <mergeCell ref="G197:J197"/>
    <mergeCell ref="A198:D198"/>
    <mergeCell ref="G198:J198"/>
    <mergeCell ref="A199:D199"/>
    <mergeCell ref="G199:J199"/>
    <mergeCell ref="G206:J206"/>
    <mergeCell ref="A207:D207"/>
    <mergeCell ref="G207:J207"/>
    <mergeCell ref="A208:D208"/>
    <mergeCell ref="G208:J208"/>
    <mergeCell ref="A203:D203"/>
    <mergeCell ref="G203:J203"/>
    <mergeCell ref="A204:D204"/>
    <mergeCell ref="G204:J204"/>
    <mergeCell ref="A205:D205"/>
    <mergeCell ref="G205:J205"/>
    <mergeCell ref="G220:J220"/>
    <mergeCell ref="A221:D221"/>
    <mergeCell ref="G221:J221"/>
    <mergeCell ref="A222:D222"/>
    <mergeCell ref="G222:J222"/>
    <mergeCell ref="A209:D209"/>
    <mergeCell ref="G209:J209"/>
    <mergeCell ref="A210:E210"/>
    <mergeCell ref="F210:J210"/>
    <mergeCell ref="A213:J213"/>
    <mergeCell ref="A214:D219"/>
    <mergeCell ref="E214:E219"/>
    <mergeCell ref="F214:F219"/>
    <mergeCell ref="G214:J219"/>
    <mergeCell ref="A212:J212"/>
    <mergeCell ref="A211:J211"/>
    <mergeCell ref="G226:J226"/>
    <mergeCell ref="A227:D227"/>
    <mergeCell ref="G227:J227"/>
    <mergeCell ref="A228:D228"/>
    <mergeCell ref="G228:J228"/>
    <mergeCell ref="A223:D223"/>
    <mergeCell ref="G223:J223"/>
    <mergeCell ref="A224:D224"/>
    <mergeCell ref="G224:J224"/>
    <mergeCell ref="A225:D225"/>
    <mergeCell ref="G225:J225"/>
    <mergeCell ref="G232:J232"/>
    <mergeCell ref="A233:D233"/>
    <mergeCell ref="G233:J233"/>
    <mergeCell ref="A234:D234"/>
    <mergeCell ref="G234:J234"/>
    <mergeCell ref="A229:D229"/>
    <mergeCell ref="G229:J229"/>
    <mergeCell ref="A230:D230"/>
    <mergeCell ref="G230:J230"/>
    <mergeCell ref="A231:D231"/>
    <mergeCell ref="G231:J231"/>
    <mergeCell ref="G238:J238"/>
    <mergeCell ref="A239:D239"/>
    <mergeCell ref="G239:J239"/>
    <mergeCell ref="A240:D240"/>
    <mergeCell ref="G240:J240"/>
    <mergeCell ref="A235:D235"/>
    <mergeCell ref="G235:J235"/>
    <mergeCell ref="A236:D236"/>
    <mergeCell ref="G236:J236"/>
    <mergeCell ref="A237:D237"/>
    <mergeCell ref="G237:J237"/>
    <mergeCell ref="G255:J255"/>
    <mergeCell ref="A256:D256"/>
    <mergeCell ref="G256:J256"/>
    <mergeCell ref="A247:J247"/>
    <mergeCell ref="A241:D241"/>
    <mergeCell ref="G241:J241"/>
    <mergeCell ref="A242:D242"/>
    <mergeCell ref="G242:J242"/>
    <mergeCell ref="A243:D243"/>
    <mergeCell ref="G243:J243"/>
    <mergeCell ref="A244:D244"/>
    <mergeCell ref="G244:J244"/>
    <mergeCell ref="A245:E245"/>
    <mergeCell ref="F245:J245"/>
    <mergeCell ref="A248:J248"/>
    <mergeCell ref="A249:D254"/>
    <mergeCell ref="E249:E254"/>
    <mergeCell ref="F249:F254"/>
    <mergeCell ref="G249:J254"/>
    <mergeCell ref="A246:J246"/>
    <mergeCell ref="G260:J260"/>
    <mergeCell ref="A261:D261"/>
    <mergeCell ref="G261:J261"/>
    <mergeCell ref="A262:D262"/>
    <mergeCell ref="G262:J262"/>
    <mergeCell ref="A257:D257"/>
    <mergeCell ref="G257:J257"/>
    <mergeCell ref="A258:D258"/>
    <mergeCell ref="G258:J258"/>
    <mergeCell ref="A259:D259"/>
    <mergeCell ref="G259:J259"/>
    <mergeCell ref="G266:J266"/>
    <mergeCell ref="A267:D267"/>
    <mergeCell ref="G267:J267"/>
    <mergeCell ref="A268:D268"/>
    <mergeCell ref="G268:J268"/>
    <mergeCell ref="A263:D263"/>
    <mergeCell ref="G263:J263"/>
    <mergeCell ref="A264:D264"/>
    <mergeCell ref="G264:J264"/>
    <mergeCell ref="A265:D265"/>
    <mergeCell ref="G265:J265"/>
    <mergeCell ref="G272:J272"/>
    <mergeCell ref="A273:D273"/>
    <mergeCell ref="G273:J273"/>
    <mergeCell ref="A274:D274"/>
    <mergeCell ref="G274:J274"/>
    <mergeCell ref="A269:D269"/>
    <mergeCell ref="G269:J269"/>
    <mergeCell ref="A270:D270"/>
    <mergeCell ref="G270:J270"/>
    <mergeCell ref="A271:D271"/>
    <mergeCell ref="G271:J271"/>
    <mergeCell ref="A278:D278"/>
    <mergeCell ref="G278:J278"/>
    <mergeCell ref="A279:D279"/>
    <mergeCell ref="G279:J279"/>
    <mergeCell ref="A280:E280"/>
    <mergeCell ref="F280:J280"/>
    <mergeCell ref="A275:D275"/>
    <mergeCell ref="G275:J275"/>
    <mergeCell ref="A276:D276"/>
    <mergeCell ref="G276:J276"/>
    <mergeCell ref="A277:D277"/>
    <mergeCell ref="G277:J277"/>
    <mergeCell ref="G35:J35"/>
    <mergeCell ref="G32:J32"/>
    <mergeCell ref="G33:J33"/>
    <mergeCell ref="G34:J34"/>
    <mergeCell ref="G28:J28"/>
    <mergeCell ref="G29:J29"/>
    <mergeCell ref="G30:J30"/>
    <mergeCell ref="G31:J31"/>
    <mergeCell ref="G24:J24"/>
    <mergeCell ref="G25:J25"/>
    <mergeCell ref="G26:J26"/>
    <mergeCell ref="G18:J18"/>
    <mergeCell ref="G19:J19"/>
    <mergeCell ref="G20:J20"/>
    <mergeCell ref="G21:J21"/>
    <mergeCell ref="G22:J22"/>
    <mergeCell ref="G23:J23"/>
    <mergeCell ref="G12:J12"/>
    <mergeCell ref="G13:J13"/>
    <mergeCell ref="G14:J14"/>
    <mergeCell ref="G15:J15"/>
    <mergeCell ref="G16:J16"/>
    <mergeCell ref="G17:J17"/>
    <mergeCell ref="G36:J36"/>
    <mergeCell ref="G37:J37"/>
    <mergeCell ref="G38:J38"/>
    <mergeCell ref="G39:J39"/>
    <mergeCell ref="G40:J40"/>
    <mergeCell ref="G41:J41"/>
    <mergeCell ref="G42:J42"/>
    <mergeCell ref="G43:J43"/>
    <mergeCell ref="G44:J44"/>
    <mergeCell ref="G45:J45"/>
    <mergeCell ref="G46:J46"/>
    <mergeCell ref="G47:J47"/>
    <mergeCell ref="G68:J68"/>
    <mergeCell ref="G69:J69"/>
    <mergeCell ref="G70:J70"/>
    <mergeCell ref="G71:J71"/>
    <mergeCell ref="G72:J72"/>
    <mergeCell ref="G73:J73"/>
    <mergeCell ref="G57:J57"/>
    <mergeCell ref="G58:J58"/>
    <mergeCell ref="G59:J59"/>
    <mergeCell ref="G60:J60"/>
    <mergeCell ref="G61:J61"/>
    <mergeCell ref="G62:J62"/>
    <mergeCell ref="G63:J63"/>
    <mergeCell ref="G64:J64"/>
    <mergeCell ref="G65:J65"/>
    <mergeCell ref="G66:J66"/>
    <mergeCell ref="G88:J88"/>
    <mergeCell ref="G89:J89"/>
    <mergeCell ref="G96:J96"/>
    <mergeCell ref="G97:J97"/>
    <mergeCell ref="G98:J98"/>
    <mergeCell ref="G99:J99"/>
    <mergeCell ref="G100:J100"/>
    <mergeCell ref="G101:J101"/>
    <mergeCell ref="G102:J102"/>
    <mergeCell ref="A104:B104"/>
    <mergeCell ref="G104:J104"/>
    <mergeCell ref="G103:J103"/>
    <mergeCell ref="G90:J90"/>
    <mergeCell ref="G91:J91"/>
    <mergeCell ref="G92:J92"/>
    <mergeCell ref="G93:J93"/>
    <mergeCell ref="G94:J94"/>
    <mergeCell ref="G95:J95"/>
    <mergeCell ref="A94:B94"/>
    <mergeCell ref="A95:B95"/>
    <mergeCell ref="A96:B96"/>
    <mergeCell ref="A97:B97"/>
    <mergeCell ref="A98:B98"/>
    <mergeCell ref="A99:B99"/>
    <mergeCell ref="A100:B100"/>
    <mergeCell ref="A101:B101"/>
    <mergeCell ref="A102:B102"/>
    <mergeCell ref="A103:B103"/>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61:B61"/>
    <mergeCell ref="A62:B62"/>
    <mergeCell ref="A63:B63"/>
    <mergeCell ref="A64:B64"/>
    <mergeCell ref="A65:B65"/>
    <mergeCell ref="A66:B66"/>
    <mergeCell ref="A59:B59"/>
    <mergeCell ref="A60:B60"/>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s>
  <dataValidations xWindow="862" yWindow="420" count="5">
    <dataValidation type="list" allowBlank="1" showInputMessage="1" showErrorMessage="1" sqref="E220:E244 E255:E279 E185:E209 E115:E139 E150:E174 D11:D104">
      <formula1>program</formula1>
    </dataValidation>
    <dataValidation allowBlank="1" showErrorMessage="1" sqref="F115:F139 F150:F174 F185:F209 F220:F244 F255:F279"/>
    <dataValidation type="textLength" operator="lessThan" allowBlank="1" showInputMessage="1" showErrorMessage="1" errorTitle="Too Much Text" error="Provide a brief description using no more than 100 characters here.  A more full description should be included on the summary worksheet (tab 5)." sqref="G255:J279 G115:J139 G150:J174 G185:J209 G220:J244 G11:J104">
      <formula1>101</formula1>
    </dataValidation>
    <dataValidation allowBlank="1" showInputMessage="1" showErrorMessage="1" promptTitle="% of FTE" prompt="Input a percentage or decimal showing the portion of this individual's total salary and benefits to be paid from these funds." sqref="E11:E104"/>
    <dataValidation allowBlank="1" showInputMessage="1" showErrorMessage="1" promptTitle="Total Amount" prompt="Input the total amount of these funds being used to fund this individual's salary and benefits." sqref="F11:F104"/>
  </dataValidations>
  <pageMargins left="0.75" right="0.75" top="1" bottom="1" header="0.5" footer="0.5"/>
  <pageSetup scale="39" fitToWidth="0" fitToHeight="0" orientation="portrait" r:id="rId1"/>
  <headerFooter alignWithMargins="0">
    <oddHeader>&amp;LFFY 2012 Consolidated Application: Consolidated SWP: Detailed Expenditures
&amp;C&amp;A&amp;R&amp;P of &amp;N</oddHeader>
  </headerFooter>
  <rowBreaks count="2" manualBreakCount="2">
    <brk id="106" max="9" man="1"/>
    <brk id="176"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51"/>
  <sheetViews>
    <sheetView topLeftCell="A4" zoomScaleNormal="100" workbookViewId="0">
      <selection activeCell="G33" sqref="G33:G38"/>
    </sheetView>
  </sheetViews>
  <sheetFormatPr defaultColWidth="9.140625" defaultRowHeight="12.75" x14ac:dyDescent="0.2"/>
  <cols>
    <col min="1" max="10" width="15.7109375" style="2" customWidth="1"/>
    <col min="11" max="11" width="15.7109375" style="1" customWidth="1"/>
    <col min="12" max="16384" width="9.140625" style="2"/>
  </cols>
  <sheetData>
    <row r="1" spans="1:11" ht="13.5" customHeight="1" thickTop="1" x14ac:dyDescent="0.2">
      <c r="A1" s="864" t="s">
        <v>101</v>
      </c>
      <c r="B1" s="865"/>
      <c r="C1" s="865"/>
      <c r="D1" s="869" t="s">
        <v>56</v>
      </c>
      <c r="E1" s="870"/>
      <c r="F1" s="870"/>
      <c r="G1" s="870"/>
      <c r="H1" s="870"/>
      <c r="I1" s="870"/>
      <c r="J1" s="870"/>
      <c r="K1" s="839" t="str">
        <f>IF(J45='3'!F22,"Your budget is now complete.","The total amount for which you have budgeted does not match the total amount of funds from all sources being consolidated in the LEA's consolidated schoolwide program pool of funds.")</f>
        <v>Your budget is now complete.</v>
      </c>
    </row>
    <row r="2" spans="1:11" ht="12.75" customHeight="1" x14ac:dyDescent="0.2">
      <c r="A2" s="866"/>
      <c r="B2" s="867"/>
      <c r="C2" s="867"/>
      <c r="D2" s="871"/>
      <c r="E2" s="872"/>
      <c r="F2" s="872"/>
      <c r="G2" s="872"/>
      <c r="H2" s="872"/>
      <c r="I2" s="872"/>
      <c r="J2" s="872"/>
      <c r="K2" s="840"/>
    </row>
    <row r="3" spans="1:11" ht="12.75" customHeight="1" x14ac:dyDescent="0.2">
      <c r="A3" s="866"/>
      <c r="B3" s="867"/>
      <c r="C3" s="867"/>
      <c r="D3" s="871"/>
      <c r="E3" s="872"/>
      <c r="F3" s="872"/>
      <c r="G3" s="872"/>
      <c r="H3" s="872"/>
      <c r="I3" s="872"/>
      <c r="J3" s="872"/>
      <c r="K3" s="840"/>
    </row>
    <row r="4" spans="1:11" ht="13.5" customHeight="1" thickBot="1" x14ac:dyDescent="0.25">
      <c r="A4" s="866"/>
      <c r="B4" s="867"/>
      <c r="C4" s="867"/>
      <c r="D4" s="873"/>
      <c r="E4" s="874"/>
      <c r="F4" s="874"/>
      <c r="G4" s="874"/>
      <c r="H4" s="874"/>
      <c r="I4" s="874"/>
      <c r="J4" s="874"/>
      <c r="K4" s="840"/>
    </row>
    <row r="5" spans="1:11" ht="12.75" customHeight="1" x14ac:dyDescent="0.2">
      <c r="A5" s="866"/>
      <c r="B5" s="867"/>
      <c r="C5" s="867"/>
      <c r="D5" s="842" t="s">
        <v>57</v>
      </c>
      <c r="E5" s="842" t="s">
        <v>58</v>
      </c>
      <c r="F5" s="842" t="s">
        <v>136</v>
      </c>
      <c r="G5" s="842" t="s">
        <v>138</v>
      </c>
      <c r="H5" s="842" t="s">
        <v>61</v>
      </c>
      <c r="I5" s="842" t="s">
        <v>115</v>
      </c>
      <c r="J5" s="844" t="s">
        <v>116</v>
      </c>
      <c r="K5" s="840"/>
    </row>
    <row r="6" spans="1:11" ht="12.75" customHeight="1" x14ac:dyDescent="0.2">
      <c r="A6" s="866"/>
      <c r="B6" s="867"/>
      <c r="C6" s="867"/>
      <c r="D6" s="843"/>
      <c r="E6" s="843"/>
      <c r="F6" s="843"/>
      <c r="G6" s="843"/>
      <c r="H6" s="843"/>
      <c r="I6" s="843"/>
      <c r="J6" s="845"/>
      <c r="K6" s="840"/>
    </row>
    <row r="7" spans="1:11" ht="12.75" customHeight="1" x14ac:dyDescent="0.2">
      <c r="A7" s="866"/>
      <c r="B7" s="867"/>
      <c r="C7" s="867"/>
      <c r="D7" s="843"/>
      <c r="E7" s="843"/>
      <c r="F7" s="843"/>
      <c r="G7" s="843"/>
      <c r="H7" s="843"/>
      <c r="I7" s="843"/>
      <c r="J7" s="846"/>
      <c r="K7" s="840"/>
    </row>
    <row r="8" spans="1:11" ht="13.5" customHeight="1" thickBot="1" x14ac:dyDescent="0.25">
      <c r="A8" s="868"/>
      <c r="B8" s="867"/>
      <c r="C8" s="867"/>
      <c r="D8" s="843"/>
      <c r="E8" s="843"/>
      <c r="F8" s="843"/>
      <c r="G8" s="843"/>
      <c r="H8" s="843"/>
      <c r="I8" s="843"/>
      <c r="J8" s="847"/>
      <c r="K8" s="840"/>
    </row>
    <row r="9" spans="1:11" ht="12.75" customHeight="1" x14ac:dyDescent="0.2">
      <c r="A9" s="851" t="s">
        <v>63</v>
      </c>
      <c r="B9" s="854" t="s">
        <v>50</v>
      </c>
      <c r="C9" s="855"/>
      <c r="D9" s="833">
        <f>SUMIF('6'!D11:D104,"Instruction",'6'!F11:F104)</f>
        <v>15469252.899999995</v>
      </c>
      <c r="E9" s="833">
        <f>SUMIF('6'!E115:E139,"Instruction",'6'!F115:F139)</f>
        <v>0</v>
      </c>
      <c r="F9" s="833">
        <f>SUMIF('6'!E150:E174,"Instruction",'6'!F150:F174)</f>
        <v>0</v>
      </c>
      <c r="G9" s="833">
        <f>SUMIF('6'!E185:E209,"Instruction",'6'!F185:F209)</f>
        <v>0</v>
      </c>
      <c r="H9" s="833">
        <f>SUMIF('6'!E220:E244,"Instruction",'6'!F220:F244)</f>
        <v>0</v>
      </c>
      <c r="I9" s="833">
        <f>SUMIF('6'!E255:E279,"Instruction",'6'!F255:F279)</f>
        <v>0</v>
      </c>
      <c r="J9" s="848">
        <f>SUM(D9:I9)</f>
        <v>15469252.899999995</v>
      </c>
      <c r="K9" s="840"/>
    </row>
    <row r="10" spans="1:11" ht="12.75" customHeight="1" x14ac:dyDescent="0.2">
      <c r="A10" s="852"/>
      <c r="B10" s="856"/>
      <c r="C10" s="857"/>
      <c r="D10" s="834"/>
      <c r="E10" s="834"/>
      <c r="F10" s="834"/>
      <c r="G10" s="834"/>
      <c r="H10" s="834"/>
      <c r="I10" s="834"/>
      <c r="J10" s="849"/>
      <c r="K10" s="840"/>
    </row>
    <row r="11" spans="1:11" ht="12.75" customHeight="1" x14ac:dyDescent="0.2">
      <c r="A11" s="852"/>
      <c r="B11" s="856"/>
      <c r="C11" s="857"/>
      <c r="D11" s="834"/>
      <c r="E11" s="834"/>
      <c r="F11" s="834"/>
      <c r="G11" s="834"/>
      <c r="H11" s="834"/>
      <c r="I11" s="834"/>
      <c r="J11" s="849"/>
      <c r="K11" s="840"/>
    </row>
    <row r="12" spans="1:11" ht="12.75" customHeight="1" x14ac:dyDescent="0.2">
      <c r="A12" s="852"/>
      <c r="B12" s="856"/>
      <c r="C12" s="857"/>
      <c r="D12" s="834"/>
      <c r="E12" s="834"/>
      <c r="F12" s="834"/>
      <c r="G12" s="834"/>
      <c r="H12" s="834"/>
      <c r="I12" s="834"/>
      <c r="J12" s="849"/>
      <c r="K12" s="840"/>
    </row>
    <row r="13" spans="1:11" ht="12.75" customHeight="1" x14ac:dyDescent="0.2">
      <c r="A13" s="852"/>
      <c r="B13" s="856"/>
      <c r="C13" s="857"/>
      <c r="D13" s="834"/>
      <c r="E13" s="834"/>
      <c r="F13" s="834"/>
      <c r="G13" s="834"/>
      <c r="H13" s="834"/>
      <c r="I13" s="834"/>
      <c r="J13" s="849"/>
      <c r="K13" s="840"/>
    </row>
    <row r="14" spans="1:11" ht="12.75" customHeight="1" thickBot="1" x14ac:dyDescent="0.25">
      <c r="A14" s="852"/>
      <c r="B14" s="856"/>
      <c r="C14" s="857"/>
      <c r="D14" s="835"/>
      <c r="E14" s="835"/>
      <c r="F14" s="835"/>
      <c r="G14" s="835"/>
      <c r="H14" s="835"/>
      <c r="I14" s="835"/>
      <c r="J14" s="850"/>
      <c r="K14" s="840"/>
    </row>
    <row r="15" spans="1:11" ht="12.75" customHeight="1" x14ac:dyDescent="0.2">
      <c r="A15" s="852"/>
      <c r="B15" s="854" t="s">
        <v>51</v>
      </c>
      <c r="C15" s="855"/>
      <c r="D15" s="833">
        <f>SUMIF('6'!D11:D104,"Support Services",'6'!F11:F104)</f>
        <v>0</v>
      </c>
      <c r="E15" s="833">
        <f>SUMIF('6'!E115:E139,"Support Services",'6'!F115:F139)</f>
        <v>0</v>
      </c>
      <c r="F15" s="833">
        <f>SUMIF('6'!E150:E174,"Support Services",'6'!F150:F174)</f>
        <v>0</v>
      </c>
      <c r="G15" s="833">
        <f>SUMIF('6'!E185:E209,"Support Services",'6'!F185:F209)</f>
        <v>0</v>
      </c>
      <c r="H15" s="833">
        <f>SUMIF('6'!E220:E244,"Support Services",'6'!F220:F244)</f>
        <v>0</v>
      </c>
      <c r="I15" s="833">
        <f>SUMIF('6'!E255:E279,"Support Services",'6'!F255:F279)</f>
        <v>0</v>
      </c>
      <c r="J15" s="848">
        <f>SUM(D15:I15)</f>
        <v>0</v>
      </c>
      <c r="K15" s="840"/>
    </row>
    <row r="16" spans="1:11" ht="12.75" customHeight="1" x14ac:dyDescent="0.2">
      <c r="A16" s="852"/>
      <c r="B16" s="856"/>
      <c r="C16" s="857"/>
      <c r="D16" s="834"/>
      <c r="E16" s="834"/>
      <c r="F16" s="834"/>
      <c r="G16" s="834"/>
      <c r="H16" s="834"/>
      <c r="I16" s="834"/>
      <c r="J16" s="849"/>
      <c r="K16" s="840"/>
    </row>
    <row r="17" spans="1:11" ht="12.75" customHeight="1" x14ac:dyDescent="0.2">
      <c r="A17" s="852"/>
      <c r="B17" s="856"/>
      <c r="C17" s="857"/>
      <c r="D17" s="834"/>
      <c r="E17" s="834"/>
      <c r="F17" s="834"/>
      <c r="G17" s="834"/>
      <c r="H17" s="834"/>
      <c r="I17" s="834"/>
      <c r="J17" s="849"/>
      <c r="K17" s="840"/>
    </row>
    <row r="18" spans="1:11" ht="12.75" customHeight="1" x14ac:dyDescent="0.2">
      <c r="A18" s="852"/>
      <c r="B18" s="856"/>
      <c r="C18" s="857"/>
      <c r="D18" s="834"/>
      <c r="E18" s="834"/>
      <c r="F18" s="834"/>
      <c r="G18" s="834"/>
      <c r="H18" s="834"/>
      <c r="I18" s="834"/>
      <c r="J18" s="849"/>
      <c r="K18" s="840"/>
    </row>
    <row r="19" spans="1:11" ht="12.75" customHeight="1" x14ac:dyDescent="0.2">
      <c r="A19" s="852"/>
      <c r="B19" s="856"/>
      <c r="C19" s="857"/>
      <c r="D19" s="834"/>
      <c r="E19" s="834"/>
      <c r="F19" s="834"/>
      <c r="G19" s="834"/>
      <c r="H19" s="834"/>
      <c r="I19" s="834"/>
      <c r="J19" s="849"/>
      <c r="K19" s="840"/>
    </row>
    <row r="20" spans="1:11" ht="12.75" customHeight="1" thickBot="1" x14ac:dyDescent="0.25">
      <c r="A20" s="852"/>
      <c r="B20" s="856"/>
      <c r="C20" s="857"/>
      <c r="D20" s="835"/>
      <c r="E20" s="835"/>
      <c r="F20" s="835"/>
      <c r="G20" s="835"/>
      <c r="H20" s="835"/>
      <c r="I20" s="835"/>
      <c r="J20" s="850"/>
      <c r="K20" s="840"/>
    </row>
    <row r="21" spans="1:11" ht="12.75" customHeight="1" x14ac:dyDescent="0.2">
      <c r="A21" s="852"/>
      <c r="B21" s="854" t="s">
        <v>94</v>
      </c>
      <c r="C21" s="855"/>
      <c r="D21" s="833">
        <f>SUMIF('6'!D11:D104,"Administration",'6'!F11:F104)</f>
        <v>0</v>
      </c>
      <c r="E21" s="833">
        <f>SUMIF('6'!E115:E139,"Administration",'6'!F115:F139)</f>
        <v>0</v>
      </c>
      <c r="F21" s="833">
        <f>SUMIF('6'!E150:E174,"Administration",'6'!F150:F174)</f>
        <v>0</v>
      </c>
      <c r="G21" s="833">
        <f>SUMIF('6'!E185:E209,"Administration",'6'!F185:F209)</f>
        <v>0</v>
      </c>
      <c r="H21" s="833">
        <f>SUMIF('6'!E220:E244,"Administration",'6'!F220:F244)</f>
        <v>0</v>
      </c>
      <c r="I21" s="833">
        <f>SUMIF('6'!E255:E279,"Administration",'6'!F255:F279)</f>
        <v>0</v>
      </c>
      <c r="J21" s="848">
        <f>SUM(D21:I21)</f>
        <v>0</v>
      </c>
      <c r="K21" s="840"/>
    </row>
    <row r="22" spans="1:11" ht="12.75" customHeight="1" x14ac:dyDescent="0.2">
      <c r="A22" s="852"/>
      <c r="B22" s="856"/>
      <c r="C22" s="857"/>
      <c r="D22" s="834"/>
      <c r="E22" s="834"/>
      <c r="F22" s="834"/>
      <c r="G22" s="834"/>
      <c r="H22" s="834"/>
      <c r="I22" s="834"/>
      <c r="J22" s="849"/>
      <c r="K22" s="840"/>
    </row>
    <row r="23" spans="1:11" ht="12.75" customHeight="1" x14ac:dyDescent="0.2">
      <c r="A23" s="852"/>
      <c r="B23" s="856"/>
      <c r="C23" s="857"/>
      <c r="D23" s="834"/>
      <c r="E23" s="834"/>
      <c r="F23" s="834"/>
      <c r="G23" s="834"/>
      <c r="H23" s="834"/>
      <c r="I23" s="834"/>
      <c r="J23" s="849"/>
      <c r="K23" s="840"/>
    </row>
    <row r="24" spans="1:11" ht="12.75" customHeight="1" x14ac:dyDescent="0.2">
      <c r="A24" s="852"/>
      <c r="B24" s="856"/>
      <c r="C24" s="857"/>
      <c r="D24" s="834"/>
      <c r="E24" s="834"/>
      <c r="F24" s="834"/>
      <c r="G24" s="834"/>
      <c r="H24" s="834"/>
      <c r="I24" s="834"/>
      <c r="J24" s="849"/>
      <c r="K24" s="840"/>
    </row>
    <row r="25" spans="1:11" ht="12.75" customHeight="1" x14ac:dyDescent="0.2">
      <c r="A25" s="852"/>
      <c r="B25" s="856"/>
      <c r="C25" s="857"/>
      <c r="D25" s="834"/>
      <c r="E25" s="834"/>
      <c r="F25" s="834"/>
      <c r="G25" s="834"/>
      <c r="H25" s="834"/>
      <c r="I25" s="834"/>
      <c r="J25" s="849"/>
      <c r="K25" s="840"/>
    </row>
    <row r="26" spans="1:11" ht="12.75" customHeight="1" thickBot="1" x14ac:dyDescent="0.25">
      <c r="A26" s="852"/>
      <c r="B26" s="856"/>
      <c r="C26" s="857"/>
      <c r="D26" s="835"/>
      <c r="E26" s="835"/>
      <c r="F26" s="835"/>
      <c r="G26" s="835"/>
      <c r="H26" s="835"/>
      <c r="I26" s="835"/>
      <c r="J26" s="850"/>
      <c r="K26" s="840"/>
    </row>
    <row r="27" spans="1:11" ht="12.75" customHeight="1" x14ac:dyDescent="0.2">
      <c r="A27" s="852"/>
      <c r="B27" s="854" t="s">
        <v>90</v>
      </c>
      <c r="C27" s="855"/>
      <c r="D27" s="833">
        <f>SUMIF('6'!D11:D104,"Operations and Maintenance",'6'!F11:F104)</f>
        <v>0</v>
      </c>
      <c r="E27" s="833">
        <f>SUMIF('6'!E115:E139,"Operations and Maintenance",'6'!F115:F139)</f>
        <v>0</v>
      </c>
      <c r="F27" s="833">
        <f>SUMIF('6'!E150:E174,"Operations and Maintenance",'6'!F150:F174)</f>
        <v>0</v>
      </c>
      <c r="G27" s="833">
        <f>SUMIF('6'!E185:E209,"Operations and Maintenance",'6'!F185:F209)</f>
        <v>0</v>
      </c>
      <c r="H27" s="833">
        <f>SUMIF('6'!E220:E244,"Operations and Maintenance",'6'!F220:F244)</f>
        <v>0</v>
      </c>
      <c r="I27" s="833">
        <f>SUMIF('6'!E255:E279,"Operations and Maintenance",'6'!F255:F279)</f>
        <v>0</v>
      </c>
      <c r="J27" s="848">
        <f>SUM(D27:I27)</f>
        <v>0</v>
      </c>
      <c r="K27" s="840"/>
    </row>
    <row r="28" spans="1:11" x14ac:dyDescent="0.2">
      <c r="A28" s="852"/>
      <c r="B28" s="856"/>
      <c r="C28" s="857"/>
      <c r="D28" s="834"/>
      <c r="E28" s="834"/>
      <c r="F28" s="834"/>
      <c r="G28" s="834"/>
      <c r="H28" s="834"/>
      <c r="I28" s="834"/>
      <c r="J28" s="849"/>
      <c r="K28" s="840"/>
    </row>
    <row r="29" spans="1:11" x14ac:dyDescent="0.2">
      <c r="A29" s="852"/>
      <c r="B29" s="856"/>
      <c r="C29" s="857"/>
      <c r="D29" s="834"/>
      <c r="E29" s="834"/>
      <c r="F29" s="834"/>
      <c r="G29" s="834"/>
      <c r="H29" s="834"/>
      <c r="I29" s="834"/>
      <c r="J29" s="849"/>
      <c r="K29" s="840"/>
    </row>
    <row r="30" spans="1:11" x14ac:dyDescent="0.2">
      <c r="A30" s="852"/>
      <c r="B30" s="856"/>
      <c r="C30" s="857"/>
      <c r="D30" s="834"/>
      <c r="E30" s="834"/>
      <c r="F30" s="834"/>
      <c r="G30" s="834"/>
      <c r="H30" s="834"/>
      <c r="I30" s="834"/>
      <c r="J30" s="849"/>
      <c r="K30" s="840"/>
    </row>
    <row r="31" spans="1:11" x14ac:dyDescent="0.2">
      <c r="A31" s="852"/>
      <c r="B31" s="856"/>
      <c r="C31" s="857"/>
      <c r="D31" s="834"/>
      <c r="E31" s="834"/>
      <c r="F31" s="834"/>
      <c r="G31" s="834"/>
      <c r="H31" s="834"/>
      <c r="I31" s="834"/>
      <c r="J31" s="849"/>
      <c r="K31" s="840"/>
    </row>
    <row r="32" spans="1:11" ht="13.5" thickBot="1" x14ac:dyDescent="0.25">
      <c r="A32" s="852"/>
      <c r="B32" s="856"/>
      <c r="C32" s="857"/>
      <c r="D32" s="835"/>
      <c r="E32" s="835"/>
      <c r="F32" s="835"/>
      <c r="G32" s="835"/>
      <c r="H32" s="835"/>
      <c r="I32" s="835"/>
      <c r="J32" s="850"/>
      <c r="K32" s="840"/>
    </row>
    <row r="33" spans="1:11" ht="12.75" customHeight="1" x14ac:dyDescent="0.2">
      <c r="A33" s="852"/>
      <c r="B33" s="854" t="s">
        <v>95</v>
      </c>
      <c r="C33" s="855"/>
      <c r="D33" s="833">
        <f>SUMIF('6'!D11:D104,"Student Transportation",'6'!F11:F104)</f>
        <v>0</v>
      </c>
      <c r="E33" s="833">
        <f>SUMIF('6'!E115:E139,"Student Transportation",'6'!F115:F139)</f>
        <v>0</v>
      </c>
      <c r="F33" s="833">
        <f>SUMIF('6'!E150:E174,"Student Transportation",'6'!F150:F174)</f>
        <v>0</v>
      </c>
      <c r="G33" s="833">
        <f>SUMIF('6'!E185:E209,"Student Transportation",'6'!F185:F209)</f>
        <v>0</v>
      </c>
      <c r="H33" s="833">
        <f>SUMIF('6'!E220:E244,"Student Transportation",'6'!F220:F244)</f>
        <v>0</v>
      </c>
      <c r="I33" s="833">
        <f>SUMIF('6'!E255:E279,"Student Transportation",'6'!F255:F279)</f>
        <v>0</v>
      </c>
      <c r="J33" s="848">
        <f>SUM(D33:I33)</f>
        <v>0</v>
      </c>
      <c r="K33" s="840"/>
    </row>
    <row r="34" spans="1:11" x14ac:dyDescent="0.2">
      <c r="A34" s="852"/>
      <c r="B34" s="856"/>
      <c r="C34" s="857"/>
      <c r="D34" s="834"/>
      <c r="E34" s="834"/>
      <c r="F34" s="834"/>
      <c r="G34" s="834"/>
      <c r="H34" s="834"/>
      <c r="I34" s="834"/>
      <c r="J34" s="849"/>
      <c r="K34" s="840"/>
    </row>
    <row r="35" spans="1:11" x14ac:dyDescent="0.2">
      <c r="A35" s="852"/>
      <c r="B35" s="856"/>
      <c r="C35" s="857"/>
      <c r="D35" s="834"/>
      <c r="E35" s="834"/>
      <c r="F35" s="834"/>
      <c r="G35" s="834"/>
      <c r="H35" s="834"/>
      <c r="I35" s="834"/>
      <c r="J35" s="849"/>
      <c r="K35" s="840"/>
    </row>
    <row r="36" spans="1:11" x14ac:dyDescent="0.2">
      <c r="A36" s="852"/>
      <c r="B36" s="856"/>
      <c r="C36" s="857"/>
      <c r="D36" s="834"/>
      <c r="E36" s="834"/>
      <c r="F36" s="834"/>
      <c r="G36" s="834"/>
      <c r="H36" s="834"/>
      <c r="I36" s="834"/>
      <c r="J36" s="849"/>
      <c r="K36" s="840"/>
    </row>
    <row r="37" spans="1:11" x14ac:dyDescent="0.2">
      <c r="A37" s="852"/>
      <c r="B37" s="856"/>
      <c r="C37" s="857"/>
      <c r="D37" s="834"/>
      <c r="E37" s="834"/>
      <c r="F37" s="834"/>
      <c r="G37" s="834"/>
      <c r="H37" s="834"/>
      <c r="I37" s="834"/>
      <c r="J37" s="849"/>
      <c r="K37" s="840"/>
    </row>
    <row r="38" spans="1:11" ht="13.5" thickBot="1" x14ac:dyDescent="0.25">
      <c r="A38" s="852"/>
      <c r="B38" s="856"/>
      <c r="C38" s="857"/>
      <c r="D38" s="835"/>
      <c r="E38" s="835"/>
      <c r="F38" s="835"/>
      <c r="G38" s="835"/>
      <c r="H38" s="835"/>
      <c r="I38" s="835"/>
      <c r="J38" s="850"/>
      <c r="K38" s="840"/>
    </row>
    <row r="39" spans="1:11" ht="12.75" customHeight="1" x14ac:dyDescent="0.2">
      <c r="A39" s="852"/>
      <c r="B39" s="854" t="s">
        <v>52</v>
      </c>
      <c r="C39" s="855"/>
      <c r="D39" s="833">
        <f>SUMIF('6'!D11:D104,"Other",'6'!F11:F104)</f>
        <v>0</v>
      </c>
      <c r="E39" s="833">
        <f>SUMIF('6'!E115:E139,"Other",'6'!F115:F139)</f>
        <v>0</v>
      </c>
      <c r="F39" s="833">
        <f>SUMIF('6'!E150:E174,"Other",'6'!F150:F174)</f>
        <v>0</v>
      </c>
      <c r="G39" s="833">
        <f>SUMIF('6'!E185:E209,"Other",'6'!F185:F209)</f>
        <v>0</v>
      </c>
      <c r="H39" s="833">
        <f>SUMIF('6'!E220:E244,"Other",'6'!F220:F244)</f>
        <v>0</v>
      </c>
      <c r="I39" s="833">
        <f>SUMIF('6'!E255:E279,"Other",'6'!F255:F279)</f>
        <v>0</v>
      </c>
      <c r="J39" s="848">
        <f>SUM(D39:I39)</f>
        <v>0</v>
      </c>
      <c r="K39" s="840"/>
    </row>
    <row r="40" spans="1:11" ht="12.75" customHeight="1" x14ac:dyDescent="0.2">
      <c r="A40" s="852"/>
      <c r="B40" s="856"/>
      <c r="C40" s="857"/>
      <c r="D40" s="834"/>
      <c r="E40" s="834"/>
      <c r="F40" s="834"/>
      <c r="G40" s="834"/>
      <c r="H40" s="834"/>
      <c r="I40" s="834"/>
      <c r="J40" s="849"/>
      <c r="K40" s="840"/>
    </row>
    <row r="41" spans="1:11" x14ac:dyDescent="0.2">
      <c r="A41" s="852"/>
      <c r="B41" s="856"/>
      <c r="C41" s="857"/>
      <c r="D41" s="834"/>
      <c r="E41" s="834"/>
      <c r="F41" s="834"/>
      <c r="G41" s="834"/>
      <c r="H41" s="834"/>
      <c r="I41" s="834"/>
      <c r="J41" s="849"/>
      <c r="K41" s="840"/>
    </row>
    <row r="42" spans="1:11" x14ac:dyDescent="0.2">
      <c r="A42" s="852"/>
      <c r="B42" s="856"/>
      <c r="C42" s="857"/>
      <c r="D42" s="834"/>
      <c r="E42" s="834"/>
      <c r="F42" s="834"/>
      <c r="G42" s="834"/>
      <c r="H42" s="834"/>
      <c r="I42" s="834"/>
      <c r="J42" s="849"/>
      <c r="K42" s="840"/>
    </row>
    <row r="43" spans="1:11" x14ac:dyDescent="0.2">
      <c r="A43" s="852"/>
      <c r="B43" s="856"/>
      <c r="C43" s="857"/>
      <c r="D43" s="834"/>
      <c r="E43" s="834"/>
      <c r="F43" s="834"/>
      <c r="G43" s="834"/>
      <c r="H43" s="834"/>
      <c r="I43" s="834"/>
      <c r="J43" s="849"/>
      <c r="K43" s="840"/>
    </row>
    <row r="44" spans="1:11" ht="13.5" thickBot="1" x14ac:dyDescent="0.25">
      <c r="A44" s="852"/>
      <c r="B44" s="856"/>
      <c r="C44" s="857"/>
      <c r="D44" s="835"/>
      <c r="E44" s="835"/>
      <c r="F44" s="835"/>
      <c r="G44" s="835"/>
      <c r="H44" s="835"/>
      <c r="I44" s="835"/>
      <c r="J44" s="850"/>
      <c r="K44" s="840"/>
    </row>
    <row r="45" spans="1:11" ht="12.75" customHeight="1" x14ac:dyDescent="0.2">
      <c r="A45" s="852"/>
      <c r="B45" s="858" t="s">
        <v>113</v>
      </c>
      <c r="C45" s="859"/>
      <c r="D45" s="836">
        <f t="shared" ref="D45:I45" si="0">SUM(D9:D44)</f>
        <v>15469252.899999995</v>
      </c>
      <c r="E45" s="836">
        <f t="shared" si="0"/>
        <v>0</v>
      </c>
      <c r="F45" s="836">
        <f t="shared" si="0"/>
        <v>0</v>
      </c>
      <c r="G45" s="836">
        <f t="shared" si="0"/>
        <v>0</v>
      </c>
      <c r="H45" s="836">
        <f t="shared" si="0"/>
        <v>0</v>
      </c>
      <c r="I45" s="836">
        <f t="shared" si="0"/>
        <v>0</v>
      </c>
      <c r="J45" s="836">
        <f>SUM(D45:I45)</f>
        <v>15469252.899999995</v>
      </c>
      <c r="K45" s="840"/>
    </row>
    <row r="46" spans="1:11" x14ac:dyDescent="0.2">
      <c r="A46" s="852"/>
      <c r="B46" s="860"/>
      <c r="C46" s="861"/>
      <c r="D46" s="837"/>
      <c r="E46" s="837"/>
      <c r="F46" s="837"/>
      <c r="G46" s="837"/>
      <c r="H46" s="837"/>
      <c r="I46" s="837"/>
      <c r="J46" s="837"/>
      <c r="K46" s="840"/>
    </row>
    <row r="47" spans="1:11" x14ac:dyDescent="0.2">
      <c r="A47" s="852"/>
      <c r="B47" s="860"/>
      <c r="C47" s="861"/>
      <c r="D47" s="837"/>
      <c r="E47" s="837"/>
      <c r="F47" s="837"/>
      <c r="G47" s="837"/>
      <c r="H47" s="837"/>
      <c r="I47" s="837"/>
      <c r="J47" s="837"/>
      <c r="K47" s="840"/>
    </row>
    <row r="48" spans="1:11" x14ac:dyDescent="0.2">
      <c r="A48" s="852"/>
      <c r="B48" s="860"/>
      <c r="C48" s="861"/>
      <c r="D48" s="837"/>
      <c r="E48" s="837"/>
      <c r="F48" s="837"/>
      <c r="G48" s="837"/>
      <c r="H48" s="837"/>
      <c r="I48" s="837"/>
      <c r="J48" s="837"/>
      <c r="K48" s="840"/>
    </row>
    <row r="49" spans="1:11" x14ac:dyDescent="0.2">
      <c r="A49" s="852"/>
      <c r="B49" s="860"/>
      <c r="C49" s="861"/>
      <c r="D49" s="837"/>
      <c r="E49" s="837"/>
      <c r="F49" s="837"/>
      <c r="G49" s="837"/>
      <c r="H49" s="837"/>
      <c r="I49" s="837"/>
      <c r="J49" s="837"/>
      <c r="K49" s="840"/>
    </row>
    <row r="50" spans="1:11" ht="13.5" thickBot="1" x14ac:dyDescent="0.25">
      <c r="A50" s="853"/>
      <c r="B50" s="862"/>
      <c r="C50" s="863"/>
      <c r="D50" s="838"/>
      <c r="E50" s="838"/>
      <c r="F50" s="838"/>
      <c r="G50" s="838"/>
      <c r="H50" s="838"/>
      <c r="I50" s="838"/>
      <c r="J50" s="838"/>
      <c r="K50" s="841"/>
    </row>
    <row r="51" spans="1:11" ht="13.5" thickTop="1" x14ac:dyDescent="0.2"/>
  </sheetData>
  <sheetProtection password="E686" sheet="1" objects="1" scenarios="1"/>
  <mergeCells count="67">
    <mergeCell ref="A1:C8"/>
    <mergeCell ref="D1:J4"/>
    <mergeCell ref="D21:D26"/>
    <mergeCell ref="I27:I32"/>
    <mergeCell ref="B21:C26"/>
    <mergeCell ref="B27:C32"/>
    <mergeCell ref="D15:D20"/>
    <mergeCell ref="E15:E20"/>
    <mergeCell ref="F15:F20"/>
    <mergeCell ref="G15:G20"/>
    <mergeCell ref="H15:H20"/>
    <mergeCell ref="I15:I20"/>
    <mergeCell ref="D9:D14"/>
    <mergeCell ref="E9:E14"/>
    <mergeCell ref="F9:F14"/>
    <mergeCell ref="E21:E26"/>
    <mergeCell ref="J39:J44"/>
    <mergeCell ref="J45:J50"/>
    <mergeCell ref="D45:D50"/>
    <mergeCell ref="A9:A50"/>
    <mergeCell ref="B9:C14"/>
    <mergeCell ref="B15:C20"/>
    <mergeCell ref="B33:C38"/>
    <mergeCell ref="B39:C44"/>
    <mergeCell ref="B45:C50"/>
    <mergeCell ref="E45:E50"/>
    <mergeCell ref="F45:F50"/>
    <mergeCell ref="G45:G50"/>
    <mergeCell ref="H45:H50"/>
    <mergeCell ref="D27:D32"/>
    <mergeCell ref="E27:E32"/>
    <mergeCell ref="F27:F32"/>
    <mergeCell ref="K1:K50"/>
    <mergeCell ref="D5:D8"/>
    <mergeCell ref="E5:E8"/>
    <mergeCell ref="F5:F8"/>
    <mergeCell ref="G5:G8"/>
    <mergeCell ref="H5:H8"/>
    <mergeCell ref="I5:I8"/>
    <mergeCell ref="J5:J8"/>
    <mergeCell ref="J9:J14"/>
    <mergeCell ref="J15:J20"/>
    <mergeCell ref="J21:J26"/>
    <mergeCell ref="J27:J32"/>
    <mergeCell ref="J33:J38"/>
    <mergeCell ref="G9:G14"/>
    <mergeCell ref="H9:H14"/>
    <mergeCell ref="I9:I14"/>
    <mergeCell ref="F21:F26"/>
    <mergeCell ref="G21:G26"/>
    <mergeCell ref="H21:H26"/>
    <mergeCell ref="I45:I50"/>
    <mergeCell ref="I21:I26"/>
    <mergeCell ref="F33:F38"/>
    <mergeCell ref="G33:G38"/>
    <mergeCell ref="H33:H38"/>
    <mergeCell ref="I33:I38"/>
    <mergeCell ref="G27:G32"/>
    <mergeCell ref="H27:H32"/>
    <mergeCell ref="I39:I44"/>
    <mergeCell ref="G39:G44"/>
    <mergeCell ref="H39:H44"/>
    <mergeCell ref="D33:D38"/>
    <mergeCell ref="E33:E38"/>
    <mergeCell ref="D39:D44"/>
    <mergeCell ref="E39:E44"/>
    <mergeCell ref="F39:F44"/>
  </mergeCells>
  <conditionalFormatting sqref="K1">
    <cfRule type="cellIs" dxfId="49" priority="1" operator="equal">
      <formula>"The total amount for which you have budgeted does not match the total amount of funds from all sources being consolidated in the LEA's consolidated schoolwide program pool of funds."</formula>
    </cfRule>
  </conditionalFormatting>
  <pageMargins left="0.75" right="0.75" top="1" bottom="1" header="0.5" footer="0.5"/>
  <pageSetup scale="71" orientation="landscape" r:id="rId1"/>
  <headerFooter alignWithMargins="0">
    <oddHeader>&amp;LFFY 2012 Consolidated Application&amp;C&amp;A&amp;R&amp;P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34</vt:i4>
      </vt:variant>
    </vt:vector>
  </HeadingPairs>
  <TitlesOfParts>
    <vt:vector size="60" baseType="lpstr">
      <vt:lpstr>Contents</vt:lpstr>
      <vt:lpstr>1</vt:lpstr>
      <vt:lpstr>2a</vt:lpstr>
      <vt:lpstr>2b</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Sheet1</vt:lpstr>
      <vt:lpstr>Validation</vt:lpstr>
      <vt:lpstr>Sheet2</vt:lpstr>
      <vt:lpstr>'19'!check</vt:lpstr>
      <vt:lpstr>check</vt:lpstr>
      <vt:lpstr>check2</vt:lpstr>
      <vt:lpstr>LEA</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'21'!Print_Area</vt:lpstr>
      <vt:lpstr>'2a'!Print_Area</vt:lpstr>
      <vt:lpstr>'2b'!Print_Area</vt:lpstr>
      <vt:lpstr>'3'!Print_Area</vt:lpstr>
      <vt:lpstr>'4'!Print_Area</vt:lpstr>
      <vt:lpstr>'5'!Print_Area</vt:lpstr>
      <vt:lpstr>'6'!Print_Area</vt:lpstr>
      <vt:lpstr>'7'!Print_Area</vt:lpstr>
      <vt:lpstr>'8'!Print_Area</vt:lpstr>
      <vt:lpstr>'9'!Print_Area</vt:lpstr>
      <vt:lpstr>Contents!Print_Area</vt:lpstr>
      <vt:lpstr>program</vt:lpstr>
      <vt:lpstr>'7'!setasides</vt:lpstr>
      <vt:lpstr>setasides</vt:lpstr>
      <vt:lpstr>setasides2</vt:lpstr>
      <vt:lpstr>setasides3</vt:lpstr>
      <vt:lpstr>signature</vt:lpstr>
      <vt:lpstr>yes</vt:lpstr>
      <vt:lpstr>'1'!yesno</vt:lpstr>
    </vt:vector>
  </TitlesOfParts>
  <Company>OSSE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natalie.mitchell</dc:creator>
  <cp:lastModifiedBy>ServUS</cp:lastModifiedBy>
  <cp:lastPrinted>2013-04-30T15:09:09Z</cp:lastPrinted>
  <dcterms:created xsi:type="dcterms:W3CDTF">2010-06-16T23:49:17Z</dcterms:created>
  <dcterms:modified xsi:type="dcterms:W3CDTF">2013-10-22T16:34:28Z</dcterms:modified>
</cp:coreProperties>
</file>